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uad.stockholm.se\dfsroot\emp\home\ac90113\Documents\Mia\TFK\Årsmöten\"/>
    </mc:Choice>
  </mc:AlternateContent>
  <xr:revisionPtr revIDLastSave="0" documentId="8_{0D551433-F745-475D-8B9D-5BD7DA53024C}" xr6:coauthVersionLast="47" xr6:coauthVersionMax="47" xr10:uidLastSave="{00000000-0000-0000-0000-000000000000}"/>
  <bookViews>
    <workbookView xWindow="20" yWindow="380" windowWidth="19180" windowHeight="10180" xr2:uid="{60F3A832-58F2-4A98-9C75-8621BDB1284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1" i="1" l="1"/>
  <c r="F72" i="1" l="1"/>
  <c r="J179" i="1" l="1"/>
  <c r="K179" i="1"/>
  <c r="L179" i="1"/>
  <c r="L159" i="1"/>
  <c r="L130" i="1"/>
  <c r="L109" i="1"/>
  <c r="L125" i="1" s="1"/>
  <c r="L98" i="1"/>
  <c r="L43" i="1"/>
  <c r="L32" i="1"/>
  <c r="L46" i="1" l="1"/>
  <c r="L101" i="1" s="1"/>
  <c r="L135" i="1"/>
  <c r="L141" i="1" s="1"/>
  <c r="L147" i="1" l="1"/>
  <c r="L150" i="1" s="1"/>
  <c r="L153" i="1" s="1"/>
  <c r="L162" i="1" s="1"/>
  <c r="I179" i="1"/>
  <c r="H179" i="1"/>
  <c r="I157" i="1"/>
  <c r="I159" i="1" s="1"/>
  <c r="I98" i="1"/>
  <c r="I43" i="1"/>
  <c r="I32" i="1"/>
  <c r="I46" i="1" s="1"/>
  <c r="J147" i="1"/>
  <c r="J159" i="1"/>
  <c r="J125" i="1"/>
  <c r="I147" i="1"/>
  <c r="I125" i="1"/>
  <c r="J98" i="1"/>
  <c r="J43" i="1"/>
  <c r="J32" i="1"/>
  <c r="H22" i="1"/>
  <c r="L181" i="1" l="1"/>
  <c r="J46" i="1"/>
  <c r="J101" i="1" s="1"/>
  <c r="J150" i="1"/>
  <c r="I150" i="1"/>
  <c r="I153" i="1" s="1"/>
  <c r="I162" i="1" s="1"/>
  <c r="I101" i="1"/>
  <c r="H84" i="1"/>
  <c r="H157" i="1"/>
  <c r="H159" i="1" s="1"/>
  <c r="H107" i="1"/>
  <c r="H117" i="1"/>
  <c r="H80" i="1"/>
  <c r="H26" i="1"/>
  <c r="H13" i="1"/>
  <c r="H83" i="1"/>
  <c r="H76" i="1"/>
  <c r="H86" i="1"/>
  <c r="H118" i="1"/>
  <c r="H82" i="1"/>
  <c r="J153" i="1" l="1"/>
  <c r="J162" i="1" s="1"/>
  <c r="J181" i="1" s="1"/>
  <c r="I181" i="1"/>
  <c r="H32" i="1"/>
  <c r="H98" i="1"/>
  <c r="H40" i="1"/>
  <c r="H35" i="1" l="1"/>
  <c r="H41" i="1" l="1"/>
  <c r="H43" i="1" s="1"/>
  <c r="H125" i="1"/>
  <c r="H147" i="1" l="1"/>
  <c r="H46" i="1"/>
  <c r="G98" i="1"/>
  <c r="H101" i="1" l="1"/>
  <c r="H150" i="1"/>
  <c r="H153" i="1" s="1"/>
  <c r="H162" i="1" s="1"/>
  <c r="H181" i="1" s="1"/>
  <c r="A187" i="1" l="1"/>
  <c r="A184" i="1"/>
  <c r="G177" i="1"/>
  <c r="B177" i="1"/>
  <c r="C174" i="1"/>
  <c r="F172" i="1"/>
  <c r="C172" i="1"/>
  <c r="A167" i="1"/>
  <c r="A165" i="1"/>
  <c r="A162" i="1"/>
  <c r="G159" i="1"/>
  <c r="B159" i="1"/>
  <c r="F157" i="1"/>
  <c r="B157" i="1"/>
  <c r="B156" i="1"/>
  <c r="A155" i="1"/>
  <c r="A153" i="1"/>
  <c r="B150" i="1"/>
  <c r="G147" i="1"/>
  <c r="C147" i="1"/>
  <c r="F145" i="1"/>
  <c r="C145" i="1"/>
  <c r="F144" i="1"/>
  <c r="C144" i="1"/>
  <c r="F143" i="1"/>
  <c r="C143" i="1"/>
  <c r="F142" i="1"/>
  <c r="C142" i="1"/>
  <c r="F141" i="1"/>
  <c r="C141" i="1"/>
  <c r="F138" i="1"/>
  <c r="C138" i="1"/>
  <c r="F135" i="1"/>
  <c r="C135" i="1"/>
  <c r="F133" i="1"/>
  <c r="C133" i="1"/>
  <c r="F132" i="1"/>
  <c r="C132" i="1"/>
  <c r="F130" i="1"/>
  <c r="C130" i="1"/>
  <c r="F129" i="1"/>
  <c r="C129" i="1"/>
  <c r="B127" i="1"/>
  <c r="G125" i="1"/>
  <c r="C125" i="1"/>
  <c r="F122" i="1"/>
  <c r="C122" i="1"/>
  <c r="F121" i="1"/>
  <c r="C121" i="1"/>
  <c r="F120" i="1"/>
  <c r="C120" i="1"/>
  <c r="F118" i="1"/>
  <c r="C118" i="1"/>
  <c r="F117" i="1"/>
  <c r="C117" i="1"/>
  <c r="F116" i="1"/>
  <c r="C116" i="1"/>
  <c r="F115" i="1"/>
  <c r="C115" i="1"/>
  <c r="F114" i="1"/>
  <c r="C114" i="1"/>
  <c r="F113" i="1"/>
  <c r="C113" i="1"/>
  <c r="F112" i="1"/>
  <c r="C112" i="1"/>
  <c r="F111" i="1"/>
  <c r="C111" i="1"/>
  <c r="F110" i="1"/>
  <c r="C110" i="1"/>
  <c r="F109" i="1"/>
  <c r="C109" i="1"/>
  <c r="F108" i="1"/>
  <c r="C108" i="1"/>
  <c r="F107" i="1"/>
  <c r="C107" i="1"/>
  <c r="F106" i="1"/>
  <c r="C106" i="1"/>
  <c r="F105" i="1"/>
  <c r="C105" i="1"/>
  <c r="F104" i="1"/>
  <c r="C104" i="1"/>
  <c r="B103" i="1"/>
  <c r="A101" i="1"/>
  <c r="C98" i="1"/>
  <c r="F96" i="1"/>
  <c r="C96" i="1"/>
  <c r="F95" i="1"/>
  <c r="C95" i="1"/>
  <c r="F94" i="1"/>
  <c r="C94" i="1"/>
  <c r="F93" i="1"/>
  <c r="C93" i="1"/>
  <c r="F92" i="1"/>
  <c r="C92" i="1"/>
  <c r="F91" i="1"/>
  <c r="C91" i="1"/>
  <c r="F90" i="1"/>
  <c r="C90" i="1"/>
  <c r="F89" i="1"/>
  <c r="C89" i="1"/>
  <c r="F88" i="1"/>
  <c r="C88" i="1"/>
  <c r="F87" i="1"/>
  <c r="C87" i="1"/>
  <c r="F86" i="1"/>
  <c r="C86" i="1"/>
  <c r="F85" i="1"/>
  <c r="C85" i="1"/>
  <c r="F84" i="1"/>
  <c r="C84" i="1"/>
  <c r="F83" i="1"/>
  <c r="C83" i="1"/>
  <c r="F82" i="1"/>
  <c r="C82" i="1"/>
  <c r="F81" i="1"/>
  <c r="F80" i="1"/>
  <c r="C80" i="1"/>
  <c r="F79" i="1"/>
  <c r="C79" i="1"/>
  <c r="F78" i="1"/>
  <c r="C78" i="1"/>
  <c r="F77" i="1"/>
  <c r="C77" i="1"/>
  <c r="F76" i="1"/>
  <c r="C76" i="1"/>
  <c r="F75" i="1"/>
  <c r="C75" i="1"/>
  <c r="F74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F61" i="1"/>
  <c r="C61" i="1"/>
  <c r="F60" i="1"/>
  <c r="C60" i="1"/>
  <c r="F59" i="1"/>
  <c r="C59" i="1"/>
  <c r="F58" i="1"/>
  <c r="C58" i="1"/>
  <c r="C57" i="1"/>
  <c r="F56" i="1"/>
  <c r="C56" i="1"/>
  <c r="F55" i="1"/>
  <c r="C55" i="1"/>
  <c r="F54" i="1"/>
  <c r="C54" i="1"/>
  <c r="F53" i="1"/>
  <c r="C53" i="1"/>
  <c r="F52" i="1"/>
  <c r="C52" i="1"/>
  <c r="F51" i="1"/>
  <c r="C51" i="1"/>
  <c r="F50" i="1"/>
  <c r="C50" i="1"/>
  <c r="B49" i="1"/>
  <c r="A48" i="1"/>
  <c r="B46" i="1"/>
  <c r="G43" i="1"/>
  <c r="C43" i="1"/>
  <c r="F41" i="1"/>
  <c r="C41" i="1"/>
  <c r="F39" i="1"/>
  <c r="C39" i="1"/>
  <c r="F38" i="1"/>
  <c r="C38" i="1"/>
  <c r="F37" i="1"/>
  <c r="C37" i="1"/>
  <c r="F36" i="1"/>
  <c r="C36" i="1"/>
  <c r="F35" i="1"/>
  <c r="C35" i="1"/>
  <c r="B34" i="1"/>
  <c r="G32" i="1"/>
  <c r="C32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B11" i="1"/>
  <c r="A10" i="1"/>
  <c r="H187" i="1" l="1"/>
  <c r="G46" i="1"/>
  <c r="G101" i="1" s="1"/>
  <c r="G150" i="1"/>
  <c r="G153" i="1" l="1"/>
  <c r="G162" i="1" l="1"/>
  <c r="G181" i="1" s="1"/>
  <c r="G18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Kjell Åke Jägenstedt</author>
  </authors>
  <commentList>
    <comment ref="G158" authorId="0" shapeId="0" xr:uid="{F8507CDB-B553-473B-BBEB-8C5892DE78A0}">
      <text>
        <r>
          <rPr>
            <b/>
            <sz val="9"/>
            <color indexed="81"/>
            <rFont val="Tahoma"/>
            <family val="2"/>
          </rPr>
          <t>Kjell Åke Jägenstedt: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<sst xmlns="http://schemas.openxmlformats.org/spreadsheetml/2006/main" count="49" uniqueCount="47">
  <si>
    <t>Budget</t>
  </si>
  <si>
    <t>3063</t>
  </si>
  <si>
    <t>Erhållna bidrag/tillväxtverket</t>
  </si>
  <si>
    <t>ISM Malmö</t>
  </si>
  <si>
    <t>SM JSM USM stafett Södertälje</t>
  </si>
  <si>
    <t>4622</t>
  </si>
  <si>
    <t>löner</t>
  </si>
  <si>
    <t>Avskr inventarier</t>
  </si>
  <si>
    <t>7323</t>
  </si>
  <si>
    <t xml:space="preserve">Traktamente </t>
  </si>
  <si>
    <t>6991</t>
  </si>
  <si>
    <t>Övriga avdragsgilla kostnader</t>
  </si>
  <si>
    <t>Veteram SM /JSM/USM 17-22</t>
  </si>
  <si>
    <t>7519</t>
  </si>
  <si>
    <t>Justering av sociala avgifter</t>
  </si>
  <si>
    <t>TUREBERGS FRIIDROTTSKLUBB</t>
  </si>
  <si>
    <t>Utfall</t>
  </si>
  <si>
    <t xml:space="preserve">Utfall </t>
  </si>
  <si>
    <t xml:space="preserve">Budget </t>
  </si>
  <si>
    <t>3621</t>
  </si>
  <si>
    <t>Träningsbidrag</t>
  </si>
  <si>
    <t>6590</t>
  </si>
  <si>
    <t>Övriga konsulttjänster advokat</t>
  </si>
  <si>
    <t>Extraordinära intäkter</t>
  </si>
  <si>
    <t>8314</t>
  </si>
  <si>
    <t>Ej skattepliktig ränta skattekontot</t>
  </si>
  <si>
    <t>S:a Övriga ränteintäkter och liknande resultatposter</t>
  </si>
  <si>
    <t>Resultaträkningar 2020 2021 2022</t>
  </si>
  <si>
    <t>Försäljning fonder</t>
  </si>
  <si>
    <t>IJSM 17-22 Karlstad</t>
  </si>
  <si>
    <t>IUSM Västerås</t>
  </si>
  <si>
    <t>ISM IJSM IUSM Mångkamp Växjö</t>
  </si>
  <si>
    <t>SM Söderhamn</t>
  </si>
  <si>
    <t>JSM 17-22 Helsingborg</t>
  </si>
  <si>
    <t>USM Täby</t>
  </si>
  <si>
    <t>SM JSM USM Ljungby</t>
  </si>
  <si>
    <t>Terräng SM Halmstad</t>
  </si>
  <si>
    <t>Lag-USM Karlskrona</t>
  </si>
  <si>
    <t>7413</t>
  </si>
  <si>
    <t>Premietillägg pensionsförsäkring</t>
  </si>
  <si>
    <t>7410</t>
  </si>
  <si>
    <t>Pensionsförsäkring extraodinär kostnad</t>
  </si>
  <si>
    <t>7530</t>
  </si>
  <si>
    <t>Löneskatt extraordinär kostnad</t>
  </si>
  <si>
    <t>Lagstadgade sociala avgifter</t>
  </si>
  <si>
    <t>7510</t>
  </si>
  <si>
    <t>Ränteintäkter/kostnader och liknande resultatposter"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</si>
</sst>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0" fontId="1" fillId="0" borderId="0" xfId="0" applyFont="1"/>
    <xf numFmtId="0" fontId="0" fillId="0" borderId="2" xfId="0" applyBorder="1"/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left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0" fillId="0" borderId="1" xfId="0" applyBorder="1"/>
    <xf numFmtId="3" fontId="2" fillId="0" borderId="1" xfId="0" applyNumberFormat="1" applyFont="1" applyBorder="1"/>
    <xf numFmtId="3" fontId="0" fillId="0" borderId="1" xfId="0" applyNumberFormat="1" applyBorder="1"/>
    <xf numFmtId="0" fontId="0" fillId="0" borderId="3" xfId="0" applyBorder="1"/>
    <xf numFmtId="3" fontId="3" fillId="0" borderId="3" xfId="0" applyNumberFormat="1" applyFont="1" applyBorder="1"/>
    <xf numFmtId="49" fontId="1" fillId="0" borderId="0" xfId="0" applyNumberFormat="1" applyFont="1"/>
    <xf numFmtId="49" fontId="6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0" fillId="0" borderId="3" xfId="0" applyNumberFormat="1" applyBorder="1"/>
    <xf numFmtId="3" fontId="3" fillId="0" borderId="4" xfId="0" applyNumberFormat="1" applyFont="1" applyBorder="1" applyAlignment="1">
      <alignment wrapText="1"/>
    </xf>
    <xf numFmtId="3" fontId="3" fillId="0" borderId="4" xfId="0" applyNumberFormat="1" applyFont="1" applyBorder="1"/>
    <xf numFmtId="0" fontId="1" fillId="0" borderId="4" xfId="0" applyFont="1" applyBorder="1"/>
    <xf numFmtId="3" fontId="1" fillId="0" borderId="4" xfId="0" applyNumberFormat="1" applyFont="1" applyBorder="1"/>
    <xf numFmtId="0" fontId="0" fillId="0" borderId="4" xfId="0" applyBorder="1"/>
    <xf numFmtId="3" fontId="0" fillId="0" borderId="4" xfId="0" applyNumberFormat="1" applyBorder="1"/>
    <xf numFmtId="3" fontId="7" fillId="0" borderId="0" xfId="0" applyNumberFormat="1" applyFont="1"/>
    <xf numFmtId="3" fontId="8" fillId="2" borderId="0" xfId="0" applyNumberFormat="1" applyFont="1" applyFill="1"/>
    <xf numFmtId="3" fontId="8" fillId="0" borderId="0" xfId="0" applyNumberFormat="1" applyFont="1"/>
    <xf numFmtId="3" fontId="3" fillId="2" borderId="0" xfId="0" applyNumberFormat="1" applyFont="1" applyFill="1"/>
    <xf numFmtId="3" fontId="1" fillId="0" borderId="0" xfId="0" applyNumberFormat="1" applyFont="1" applyAlignment="1">
      <alignment horizontal="center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ECE4-6657-41EA-B3C0-B9646915ADD8}">
  <dimension ref="A1:L189"/>
  <sheetViews>
    <sheetView tabSelected="1" topLeftCell="A79" workbookViewId="0">
      <selection activeCell="F189" sqref="F189"/>
    </sheetView>
  </sheetViews>
  <sheetFormatPr defaultRowHeight="14.5" x14ac:dyDescent="0.35"/>
  <cols>
    <col min="1" max="1" width="9.81640625" customWidth="1"/>
    <col min="2" max="2" width="5.54296875" customWidth="1"/>
    <col min="3" max="3" width="5.453125" customWidth="1"/>
    <col min="4" max="4" width="3.26953125" customWidth="1"/>
    <col min="5" max="5" width="0.1796875" hidden="1" customWidth="1"/>
    <col min="6" max="6" width="38.54296875" bestFit="1" customWidth="1"/>
    <col min="7" max="7" width="14.81640625" style="2" customWidth="1"/>
    <col min="8" max="8" width="9.7265625" style="2" customWidth="1"/>
    <col min="9" max="9" width="15.26953125" customWidth="1"/>
    <col min="10" max="10" width="9.54296875" style="6" bestFit="1" customWidth="1"/>
    <col min="11" max="11" width="10.1796875" customWidth="1"/>
    <col min="12" max="12" width="11" customWidth="1"/>
    <col min="246" max="246" width="9.81640625" customWidth="1"/>
    <col min="247" max="247" width="9.7265625" customWidth="1"/>
    <col min="248" max="248" width="8.81640625" customWidth="1"/>
    <col min="249" max="250" width="0" hidden="1" customWidth="1"/>
    <col min="251" max="251" width="28.453125" customWidth="1"/>
    <col min="252" max="252" width="13.26953125" customWidth="1"/>
    <col min="253" max="253" width="12.26953125" customWidth="1"/>
    <col min="254" max="254" width="15.26953125" customWidth="1"/>
    <col min="255" max="255" width="14.81640625" customWidth="1"/>
    <col min="256" max="256" width="12.1796875" bestFit="1" customWidth="1"/>
    <col min="258" max="258" width="10" customWidth="1"/>
    <col min="259" max="259" width="12.1796875" bestFit="1" customWidth="1"/>
    <col min="502" max="502" width="9.81640625" customWidth="1"/>
    <col min="503" max="503" width="9.7265625" customWidth="1"/>
    <col min="504" max="504" width="8.81640625" customWidth="1"/>
    <col min="505" max="506" width="0" hidden="1" customWidth="1"/>
    <col min="507" max="507" width="28.453125" customWidth="1"/>
    <col min="508" max="508" width="13.26953125" customWidth="1"/>
    <col min="509" max="509" width="12.26953125" customWidth="1"/>
    <col min="510" max="510" width="15.26953125" customWidth="1"/>
    <col min="511" max="511" width="14.81640625" customWidth="1"/>
    <col min="512" max="512" width="12.1796875" bestFit="1" customWidth="1"/>
    <col min="514" max="514" width="10" customWidth="1"/>
    <col min="515" max="515" width="12.1796875" bestFit="1" customWidth="1"/>
    <col min="758" max="758" width="9.81640625" customWidth="1"/>
    <col min="759" max="759" width="9.7265625" customWidth="1"/>
    <col min="760" max="760" width="8.81640625" customWidth="1"/>
    <col min="761" max="762" width="0" hidden="1" customWidth="1"/>
    <col min="763" max="763" width="28.453125" customWidth="1"/>
    <col min="764" max="764" width="13.26953125" customWidth="1"/>
    <col min="765" max="765" width="12.26953125" customWidth="1"/>
    <col min="766" max="766" width="15.26953125" customWidth="1"/>
    <col min="767" max="767" width="14.81640625" customWidth="1"/>
    <col min="768" max="768" width="12.1796875" bestFit="1" customWidth="1"/>
    <col min="770" max="770" width="10" customWidth="1"/>
    <col min="771" max="771" width="12.1796875" bestFit="1" customWidth="1"/>
    <col min="1014" max="1014" width="9.81640625" customWidth="1"/>
    <col min="1015" max="1015" width="9.7265625" customWidth="1"/>
    <col min="1016" max="1016" width="8.81640625" customWidth="1"/>
    <col min="1017" max="1018" width="0" hidden="1" customWidth="1"/>
    <col min="1019" max="1019" width="28.453125" customWidth="1"/>
    <col min="1020" max="1020" width="13.26953125" customWidth="1"/>
    <col min="1021" max="1021" width="12.26953125" customWidth="1"/>
    <col min="1022" max="1022" width="15.26953125" customWidth="1"/>
    <col min="1023" max="1023" width="14.81640625" customWidth="1"/>
    <col min="1024" max="1024" width="12.1796875" bestFit="1" customWidth="1"/>
    <col min="1026" max="1026" width="10" customWidth="1"/>
    <col min="1027" max="1027" width="12.1796875" bestFit="1" customWidth="1"/>
    <col min="1270" max="1270" width="9.81640625" customWidth="1"/>
    <col min="1271" max="1271" width="9.7265625" customWidth="1"/>
    <col min="1272" max="1272" width="8.81640625" customWidth="1"/>
    <col min="1273" max="1274" width="0" hidden="1" customWidth="1"/>
    <col min="1275" max="1275" width="28.453125" customWidth="1"/>
    <col min="1276" max="1276" width="13.26953125" customWidth="1"/>
    <col min="1277" max="1277" width="12.26953125" customWidth="1"/>
    <col min="1278" max="1278" width="15.26953125" customWidth="1"/>
    <col min="1279" max="1279" width="14.81640625" customWidth="1"/>
    <col min="1280" max="1280" width="12.1796875" bestFit="1" customWidth="1"/>
    <col min="1282" max="1282" width="10" customWidth="1"/>
    <col min="1283" max="1283" width="12.1796875" bestFit="1" customWidth="1"/>
    <col min="1526" max="1526" width="9.81640625" customWidth="1"/>
    <col min="1527" max="1527" width="9.7265625" customWidth="1"/>
    <col min="1528" max="1528" width="8.81640625" customWidth="1"/>
    <col min="1529" max="1530" width="0" hidden="1" customWidth="1"/>
    <col min="1531" max="1531" width="28.453125" customWidth="1"/>
    <col min="1532" max="1532" width="13.26953125" customWidth="1"/>
    <col min="1533" max="1533" width="12.26953125" customWidth="1"/>
    <col min="1534" max="1534" width="15.26953125" customWidth="1"/>
    <col min="1535" max="1535" width="14.81640625" customWidth="1"/>
    <col min="1536" max="1536" width="12.1796875" bestFit="1" customWidth="1"/>
    <col min="1538" max="1538" width="10" customWidth="1"/>
    <col min="1539" max="1539" width="12.1796875" bestFit="1" customWidth="1"/>
    <col min="1782" max="1782" width="9.81640625" customWidth="1"/>
    <col min="1783" max="1783" width="9.7265625" customWidth="1"/>
    <col min="1784" max="1784" width="8.81640625" customWidth="1"/>
    <col min="1785" max="1786" width="0" hidden="1" customWidth="1"/>
    <col min="1787" max="1787" width="28.453125" customWidth="1"/>
    <col min="1788" max="1788" width="13.26953125" customWidth="1"/>
    <col min="1789" max="1789" width="12.26953125" customWidth="1"/>
    <col min="1790" max="1790" width="15.26953125" customWidth="1"/>
    <col min="1791" max="1791" width="14.81640625" customWidth="1"/>
    <col min="1792" max="1792" width="12.1796875" bestFit="1" customWidth="1"/>
    <col min="1794" max="1794" width="10" customWidth="1"/>
    <col min="1795" max="1795" width="12.1796875" bestFit="1" customWidth="1"/>
    <col min="2038" max="2038" width="9.81640625" customWidth="1"/>
    <col min="2039" max="2039" width="9.7265625" customWidth="1"/>
    <col min="2040" max="2040" width="8.81640625" customWidth="1"/>
    <col min="2041" max="2042" width="0" hidden="1" customWidth="1"/>
    <col min="2043" max="2043" width="28.453125" customWidth="1"/>
    <col min="2044" max="2044" width="13.26953125" customWidth="1"/>
    <col min="2045" max="2045" width="12.26953125" customWidth="1"/>
    <col min="2046" max="2046" width="15.26953125" customWidth="1"/>
    <col min="2047" max="2047" width="14.81640625" customWidth="1"/>
    <col min="2048" max="2048" width="12.1796875" bestFit="1" customWidth="1"/>
    <col min="2050" max="2050" width="10" customWidth="1"/>
    <col min="2051" max="2051" width="12.1796875" bestFit="1" customWidth="1"/>
    <col min="2294" max="2294" width="9.81640625" customWidth="1"/>
    <col min="2295" max="2295" width="9.7265625" customWidth="1"/>
    <col min="2296" max="2296" width="8.81640625" customWidth="1"/>
    <col min="2297" max="2298" width="0" hidden="1" customWidth="1"/>
    <col min="2299" max="2299" width="28.453125" customWidth="1"/>
    <col min="2300" max="2300" width="13.26953125" customWidth="1"/>
    <col min="2301" max="2301" width="12.26953125" customWidth="1"/>
    <col min="2302" max="2302" width="15.26953125" customWidth="1"/>
    <col min="2303" max="2303" width="14.81640625" customWidth="1"/>
    <col min="2304" max="2304" width="12.1796875" bestFit="1" customWidth="1"/>
    <col min="2306" max="2306" width="10" customWidth="1"/>
    <col min="2307" max="2307" width="12.1796875" bestFit="1" customWidth="1"/>
    <col min="2550" max="2550" width="9.81640625" customWidth="1"/>
    <col min="2551" max="2551" width="9.7265625" customWidth="1"/>
    <col min="2552" max="2552" width="8.81640625" customWidth="1"/>
    <col min="2553" max="2554" width="0" hidden="1" customWidth="1"/>
    <col min="2555" max="2555" width="28.453125" customWidth="1"/>
    <col min="2556" max="2556" width="13.26953125" customWidth="1"/>
    <col min="2557" max="2557" width="12.26953125" customWidth="1"/>
    <col min="2558" max="2558" width="15.26953125" customWidth="1"/>
    <col min="2559" max="2559" width="14.81640625" customWidth="1"/>
    <col min="2560" max="2560" width="12.1796875" bestFit="1" customWidth="1"/>
    <col min="2562" max="2562" width="10" customWidth="1"/>
    <col min="2563" max="2563" width="12.1796875" bestFit="1" customWidth="1"/>
    <col min="2806" max="2806" width="9.81640625" customWidth="1"/>
    <col min="2807" max="2807" width="9.7265625" customWidth="1"/>
    <col min="2808" max="2808" width="8.81640625" customWidth="1"/>
    <col min="2809" max="2810" width="0" hidden="1" customWidth="1"/>
    <col min="2811" max="2811" width="28.453125" customWidth="1"/>
    <col min="2812" max="2812" width="13.26953125" customWidth="1"/>
    <col min="2813" max="2813" width="12.26953125" customWidth="1"/>
    <col min="2814" max="2814" width="15.26953125" customWidth="1"/>
    <col min="2815" max="2815" width="14.81640625" customWidth="1"/>
    <col min="2816" max="2816" width="12.1796875" bestFit="1" customWidth="1"/>
    <col min="2818" max="2818" width="10" customWidth="1"/>
    <col min="2819" max="2819" width="12.1796875" bestFit="1" customWidth="1"/>
    <col min="3062" max="3062" width="9.81640625" customWidth="1"/>
    <col min="3063" max="3063" width="9.7265625" customWidth="1"/>
    <col min="3064" max="3064" width="8.81640625" customWidth="1"/>
    <col min="3065" max="3066" width="0" hidden="1" customWidth="1"/>
    <col min="3067" max="3067" width="28.453125" customWidth="1"/>
    <col min="3068" max="3068" width="13.26953125" customWidth="1"/>
    <col min="3069" max="3069" width="12.26953125" customWidth="1"/>
    <col min="3070" max="3070" width="15.26953125" customWidth="1"/>
    <col min="3071" max="3071" width="14.81640625" customWidth="1"/>
    <col min="3072" max="3072" width="12.1796875" bestFit="1" customWidth="1"/>
    <col min="3074" max="3074" width="10" customWidth="1"/>
    <col min="3075" max="3075" width="12.1796875" bestFit="1" customWidth="1"/>
    <col min="3318" max="3318" width="9.81640625" customWidth="1"/>
    <col min="3319" max="3319" width="9.7265625" customWidth="1"/>
    <col min="3320" max="3320" width="8.81640625" customWidth="1"/>
    <col min="3321" max="3322" width="0" hidden="1" customWidth="1"/>
    <col min="3323" max="3323" width="28.453125" customWidth="1"/>
    <col min="3324" max="3324" width="13.26953125" customWidth="1"/>
    <col min="3325" max="3325" width="12.26953125" customWidth="1"/>
    <col min="3326" max="3326" width="15.26953125" customWidth="1"/>
    <col min="3327" max="3327" width="14.81640625" customWidth="1"/>
    <col min="3328" max="3328" width="12.1796875" bestFit="1" customWidth="1"/>
    <col min="3330" max="3330" width="10" customWidth="1"/>
    <col min="3331" max="3331" width="12.1796875" bestFit="1" customWidth="1"/>
    <col min="3574" max="3574" width="9.81640625" customWidth="1"/>
    <col min="3575" max="3575" width="9.7265625" customWidth="1"/>
    <col min="3576" max="3576" width="8.81640625" customWidth="1"/>
    <col min="3577" max="3578" width="0" hidden="1" customWidth="1"/>
    <col min="3579" max="3579" width="28.453125" customWidth="1"/>
    <col min="3580" max="3580" width="13.26953125" customWidth="1"/>
    <col min="3581" max="3581" width="12.26953125" customWidth="1"/>
    <col min="3582" max="3582" width="15.26953125" customWidth="1"/>
    <col min="3583" max="3583" width="14.81640625" customWidth="1"/>
    <col min="3584" max="3584" width="12.1796875" bestFit="1" customWidth="1"/>
    <col min="3586" max="3586" width="10" customWidth="1"/>
    <col min="3587" max="3587" width="12.1796875" bestFit="1" customWidth="1"/>
    <col min="3830" max="3830" width="9.81640625" customWidth="1"/>
    <col min="3831" max="3831" width="9.7265625" customWidth="1"/>
    <col min="3832" max="3832" width="8.81640625" customWidth="1"/>
    <col min="3833" max="3834" width="0" hidden="1" customWidth="1"/>
    <col min="3835" max="3835" width="28.453125" customWidth="1"/>
    <col min="3836" max="3836" width="13.26953125" customWidth="1"/>
    <col min="3837" max="3837" width="12.26953125" customWidth="1"/>
    <col min="3838" max="3838" width="15.26953125" customWidth="1"/>
    <col min="3839" max="3839" width="14.81640625" customWidth="1"/>
    <col min="3840" max="3840" width="12.1796875" bestFit="1" customWidth="1"/>
    <col min="3842" max="3842" width="10" customWidth="1"/>
    <col min="3843" max="3843" width="12.1796875" bestFit="1" customWidth="1"/>
    <col min="4086" max="4086" width="9.81640625" customWidth="1"/>
    <col min="4087" max="4087" width="9.7265625" customWidth="1"/>
    <col min="4088" max="4088" width="8.81640625" customWidth="1"/>
    <col min="4089" max="4090" width="0" hidden="1" customWidth="1"/>
    <col min="4091" max="4091" width="28.453125" customWidth="1"/>
    <col min="4092" max="4092" width="13.26953125" customWidth="1"/>
    <col min="4093" max="4093" width="12.26953125" customWidth="1"/>
    <col min="4094" max="4094" width="15.26953125" customWidth="1"/>
    <col min="4095" max="4095" width="14.81640625" customWidth="1"/>
    <col min="4096" max="4096" width="12.1796875" bestFit="1" customWidth="1"/>
    <col min="4098" max="4098" width="10" customWidth="1"/>
    <col min="4099" max="4099" width="12.1796875" bestFit="1" customWidth="1"/>
    <col min="4342" max="4342" width="9.81640625" customWidth="1"/>
    <col min="4343" max="4343" width="9.7265625" customWidth="1"/>
    <col min="4344" max="4344" width="8.81640625" customWidth="1"/>
    <col min="4345" max="4346" width="0" hidden="1" customWidth="1"/>
    <col min="4347" max="4347" width="28.453125" customWidth="1"/>
    <col min="4348" max="4348" width="13.26953125" customWidth="1"/>
    <col min="4349" max="4349" width="12.26953125" customWidth="1"/>
    <col min="4350" max="4350" width="15.26953125" customWidth="1"/>
    <col min="4351" max="4351" width="14.81640625" customWidth="1"/>
    <col min="4352" max="4352" width="12.1796875" bestFit="1" customWidth="1"/>
    <col min="4354" max="4354" width="10" customWidth="1"/>
    <col min="4355" max="4355" width="12.1796875" bestFit="1" customWidth="1"/>
    <col min="4598" max="4598" width="9.81640625" customWidth="1"/>
    <col min="4599" max="4599" width="9.7265625" customWidth="1"/>
    <col min="4600" max="4600" width="8.81640625" customWidth="1"/>
    <col min="4601" max="4602" width="0" hidden="1" customWidth="1"/>
    <col min="4603" max="4603" width="28.453125" customWidth="1"/>
    <col min="4604" max="4604" width="13.26953125" customWidth="1"/>
    <col min="4605" max="4605" width="12.26953125" customWidth="1"/>
    <col min="4606" max="4606" width="15.26953125" customWidth="1"/>
    <col min="4607" max="4607" width="14.81640625" customWidth="1"/>
    <col min="4608" max="4608" width="12.1796875" bestFit="1" customWidth="1"/>
    <col min="4610" max="4610" width="10" customWidth="1"/>
    <col min="4611" max="4611" width="12.1796875" bestFit="1" customWidth="1"/>
    <col min="4854" max="4854" width="9.81640625" customWidth="1"/>
    <col min="4855" max="4855" width="9.7265625" customWidth="1"/>
    <col min="4856" max="4856" width="8.81640625" customWidth="1"/>
    <col min="4857" max="4858" width="0" hidden="1" customWidth="1"/>
    <col min="4859" max="4859" width="28.453125" customWidth="1"/>
    <col min="4860" max="4860" width="13.26953125" customWidth="1"/>
    <col min="4861" max="4861" width="12.26953125" customWidth="1"/>
    <col min="4862" max="4862" width="15.26953125" customWidth="1"/>
    <col min="4863" max="4863" width="14.81640625" customWidth="1"/>
    <col min="4864" max="4864" width="12.1796875" bestFit="1" customWidth="1"/>
    <col min="4866" max="4866" width="10" customWidth="1"/>
    <col min="4867" max="4867" width="12.1796875" bestFit="1" customWidth="1"/>
    <col min="5110" max="5110" width="9.81640625" customWidth="1"/>
    <col min="5111" max="5111" width="9.7265625" customWidth="1"/>
    <col min="5112" max="5112" width="8.81640625" customWidth="1"/>
    <col min="5113" max="5114" width="0" hidden="1" customWidth="1"/>
    <col min="5115" max="5115" width="28.453125" customWidth="1"/>
    <col min="5116" max="5116" width="13.26953125" customWidth="1"/>
    <col min="5117" max="5117" width="12.26953125" customWidth="1"/>
    <col min="5118" max="5118" width="15.26953125" customWidth="1"/>
    <col min="5119" max="5119" width="14.81640625" customWidth="1"/>
    <col min="5120" max="5120" width="12.1796875" bestFit="1" customWidth="1"/>
    <col min="5122" max="5122" width="10" customWidth="1"/>
    <col min="5123" max="5123" width="12.1796875" bestFit="1" customWidth="1"/>
    <col min="5366" max="5366" width="9.81640625" customWidth="1"/>
    <col min="5367" max="5367" width="9.7265625" customWidth="1"/>
    <col min="5368" max="5368" width="8.81640625" customWidth="1"/>
    <col min="5369" max="5370" width="0" hidden="1" customWidth="1"/>
    <col min="5371" max="5371" width="28.453125" customWidth="1"/>
    <col min="5372" max="5372" width="13.26953125" customWidth="1"/>
    <col min="5373" max="5373" width="12.26953125" customWidth="1"/>
    <col min="5374" max="5374" width="15.26953125" customWidth="1"/>
    <col min="5375" max="5375" width="14.81640625" customWidth="1"/>
    <col min="5376" max="5376" width="12.1796875" bestFit="1" customWidth="1"/>
    <col min="5378" max="5378" width="10" customWidth="1"/>
    <col min="5379" max="5379" width="12.1796875" bestFit="1" customWidth="1"/>
    <col min="5622" max="5622" width="9.81640625" customWidth="1"/>
    <col min="5623" max="5623" width="9.7265625" customWidth="1"/>
    <col min="5624" max="5624" width="8.81640625" customWidth="1"/>
    <col min="5625" max="5626" width="0" hidden="1" customWidth="1"/>
    <col min="5627" max="5627" width="28.453125" customWidth="1"/>
    <col min="5628" max="5628" width="13.26953125" customWidth="1"/>
    <col min="5629" max="5629" width="12.26953125" customWidth="1"/>
    <col min="5630" max="5630" width="15.26953125" customWidth="1"/>
    <col min="5631" max="5631" width="14.81640625" customWidth="1"/>
    <col min="5632" max="5632" width="12.1796875" bestFit="1" customWidth="1"/>
    <col min="5634" max="5634" width="10" customWidth="1"/>
    <col min="5635" max="5635" width="12.1796875" bestFit="1" customWidth="1"/>
    <col min="5878" max="5878" width="9.81640625" customWidth="1"/>
    <col min="5879" max="5879" width="9.7265625" customWidth="1"/>
    <col min="5880" max="5880" width="8.81640625" customWidth="1"/>
    <col min="5881" max="5882" width="0" hidden="1" customWidth="1"/>
    <col min="5883" max="5883" width="28.453125" customWidth="1"/>
    <col min="5884" max="5884" width="13.26953125" customWidth="1"/>
    <col min="5885" max="5885" width="12.26953125" customWidth="1"/>
    <col min="5886" max="5886" width="15.26953125" customWidth="1"/>
    <col min="5887" max="5887" width="14.81640625" customWidth="1"/>
    <col min="5888" max="5888" width="12.1796875" bestFit="1" customWidth="1"/>
    <col min="5890" max="5890" width="10" customWidth="1"/>
    <col min="5891" max="5891" width="12.1796875" bestFit="1" customWidth="1"/>
    <col min="6134" max="6134" width="9.81640625" customWidth="1"/>
    <col min="6135" max="6135" width="9.7265625" customWidth="1"/>
    <col min="6136" max="6136" width="8.81640625" customWidth="1"/>
    <col min="6137" max="6138" width="0" hidden="1" customWidth="1"/>
    <col min="6139" max="6139" width="28.453125" customWidth="1"/>
    <col min="6140" max="6140" width="13.26953125" customWidth="1"/>
    <col min="6141" max="6141" width="12.26953125" customWidth="1"/>
    <col min="6142" max="6142" width="15.26953125" customWidth="1"/>
    <col min="6143" max="6143" width="14.81640625" customWidth="1"/>
    <col min="6144" max="6144" width="12.1796875" bestFit="1" customWidth="1"/>
    <col min="6146" max="6146" width="10" customWidth="1"/>
    <col min="6147" max="6147" width="12.1796875" bestFit="1" customWidth="1"/>
    <col min="6390" max="6390" width="9.81640625" customWidth="1"/>
    <col min="6391" max="6391" width="9.7265625" customWidth="1"/>
    <col min="6392" max="6392" width="8.81640625" customWidth="1"/>
    <col min="6393" max="6394" width="0" hidden="1" customWidth="1"/>
    <col min="6395" max="6395" width="28.453125" customWidth="1"/>
    <col min="6396" max="6396" width="13.26953125" customWidth="1"/>
    <col min="6397" max="6397" width="12.26953125" customWidth="1"/>
    <col min="6398" max="6398" width="15.26953125" customWidth="1"/>
    <col min="6399" max="6399" width="14.81640625" customWidth="1"/>
    <col min="6400" max="6400" width="12.1796875" bestFit="1" customWidth="1"/>
    <col min="6402" max="6402" width="10" customWidth="1"/>
    <col min="6403" max="6403" width="12.1796875" bestFit="1" customWidth="1"/>
    <col min="6646" max="6646" width="9.81640625" customWidth="1"/>
    <col min="6647" max="6647" width="9.7265625" customWidth="1"/>
    <col min="6648" max="6648" width="8.81640625" customWidth="1"/>
    <col min="6649" max="6650" width="0" hidden="1" customWidth="1"/>
    <col min="6651" max="6651" width="28.453125" customWidth="1"/>
    <col min="6652" max="6652" width="13.26953125" customWidth="1"/>
    <col min="6653" max="6653" width="12.26953125" customWidth="1"/>
    <col min="6654" max="6654" width="15.26953125" customWidth="1"/>
    <col min="6655" max="6655" width="14.81640625" customWidth="1"/>
    <col min="6656" max="6656" width="12.1796875" bestFit="1" customWidth="1"/>
    <col min="6658" max="6658" width="10" customWidth="1"/>
    <col min="6659" max="6659" width="12.1796875" bestFit="1" customWidth="1"/>
    <col min="6902" max="6902" width="9.81640625" customWidth="1"/>
    <col min="6903" max="6903" width="9.7265625" customWidth="1"/>
    <col min="6904" max="6904" width="8.81640625" customWidth="1"/>
    <col min="6905" max="6906" width="0" hidden="1" customWidth="1"/>
    <col min="6907" max="6907" width="28.453125" customWidth="1"/>
    <col min="6908" max="6908" width="13.26953125" customWidth="1"/>
    <col min="6909" max="6909" width="12.26953125" customWidth="1"/>
    <col min="6910" max="6910" width="15.26953125" customWidth="1"/>
    <col min="6911" max="6911" width="14.81640625" customWidth="1"/>
    <col min="6912" max="6912" width="12.1796875" bestFit="1" customWidth="1"/>
    <col min="6914" max="6914" width="10" customWidth="1"/>
    <col min="6915" max="6915" width="12.1796875" bestFit="1" customWidth="1"/>
    <col min="7158" max="7158" width="9.81640625" customWidth="1"/>
    <col min="7159" max="7159" width="9.7265625" customWidth="1"/>
    <col min="7160" max="7160" width="8.81640625" customWidth="1"/>
    <col min="7161" max="7162" width="0" hidden="1" customWidth="1"/>
    <col min="7163" max="7163" width="28.453125" customWidth="1"/>
    <col min="7164" max="7164" width="13.26953125" customWidth="1"/>
    <col min="7165" max="7165" width="12.26953125" customWidth="1"/>
    <col min="7166" max="7166" width="15.26953125" customWidth="1"/>
    <col min="7167" max="7167" width="14.81640625" customWidth="1"/>
    <col min="7168" max="7168" width="12.1796875" bestFit="1" customWidth="1"/>
    <col min="7170" max="7170" width="10" customWidth="1"/>
    <col min="7171" max="7171" width="12.1796875" bestFit="1" customWidth="1"/>
    <col min="7414" max="7414" width="9.81640625" customWidth="1"/>
    <col min="7415" max="7415" width="9.7265625" customWidth="1"/>
    <col min="7416" max="7416" width="8.81640625" customWidth="1"/>
    <col min="7417" max="7418" width="0" hidden="1" customWidth="1"/>
    <col min="7419" max="7419" width="28.453125" customWidth="1"/>
    <col min="7420" max="7420" width="13.26953125" customWidth="1"/>
    <col min="7421" max="7421" width="12.26953125" customWidth="1"/>
    <col min="7422" max="7422" width="15.26953125" customWidth="1"/>
    <col min="7423" max="7423" width="14.81640625" customWidth="1"/>
    <col min="7424" max="7424" width="12.1796875" bestFit="1" customWidth="1"/>
    <col min="7426" max="7426" width="10" customWidth="1"/>
    <col min="7427" max="7427" width="12.1796875" bestFit="1" customWidth="1"/>
    <col min="7670" max="7670" width="9.81640625" customWidth="1"/>
    <col min="7671" max="7671" width="9.7265625" customWidth="1"/>
    <col min="7672" max="7672" width="8.81640625" customWidth="1"/>
    <col min="7673" max="7674" width="0" hidden="1" customWidth="1"/>
    <col min="7675" max="7675" width="28.453125" customWidth="1"/>
    <col min="7676" max="7676" width="13.26953125" customWidth="1"/>
    <col min="7677" max="7677" width="12.26953125" customWidth="1"/>
    <col min="7678" max="7678" width="15.26953125" customWidth="1"/>
    <col min="7679" max="7679" width="14.81640625" customWidth="1"/>
    <col min="7680" max="7680" width="12.1796875" bestFit="1" customWidth="1"/>
    <col min="7682" max="7682" width="10" customWidth="1"/>
    <col min="7683" max="7683" width="12.1796875" bestFit="1" customWidth="1"/>
    <col min="7926" max="7926" width="9.81640625" customWidth="1"/>
    <col min="7927" max="7927" width="9.7265625" customWidth="1"/>
    <col min="7928" max="7928" width="8.81640625" customWidth="1"/>
    <col min="7929" max="7930" width="0" hidden="1" customWidth="1"/>
    <col min="7931" max="7931" width="28.453125" customWidth="1"/>
    <col min="7932" max="7932" width="13.26953125" customWidth="1"/>
    <col min="7933" max="7933" width="12.26953125" customWidth="1"/>
    <col min="7934" max="7934" width="15.26953125" customWidth="1"/>
    <col min="7935" max="7935" width="14.81640625" customWidth="1"/>
    <col min="7936" max="7936" width="12.1796875" bestFit="1" customWidth="1"/>
    <col min="7938" max="7938" width="10" customWidth="1"/>
    <col min="7939" max="7939" width="12.1796875" bestFit="1" customWidth="1"/>
    <col min="8182" max="8182" width="9.81640625" customWidth="1"/>
    <col min="8183" max="8183" width="9.7265625" customWidth="1"/>
    <col min="8184" max="8184" width="8.81640625" customWidth="1"/>
    <col min="8185" max="8186" width="0" hidden="1" customWidth="1"/>
    <col min="8187" max="8187" width="28.453125" customWidth="1"/>
    <col min="8188" max="8188" width="13.26953125" customWidth="1"/>
    <col min="8189" max="8189" width="12.26953125" customWidth="1"/>
    <col min="8190" max="8190" width="15.26953125" customWidth="1"/>
    <col min="8191" max="8191" width="14.81640625" customWidth="1"/>
    <col min="8192" max="8192" width="12.1796875" bestFit="1" customWidth="1"/>
    <col min="8194" max="8194" width="10" customWidth="1"/>
    <col min="8195" max="8195" width="12.1796875" bestFit="1" customWidth="1"/>
    <col min="8438" max="8438" width="9.81640625" customWidth="1"/>
    <col min="8439" max="8439" width="9.7265625" customWidth="1"/>
    <col min="8440" max="8440" width="8.81640625" customWidth="1"/>
    <col min="8441" max="8442" width="0" hidden="1" customWidth="1"/>
    <col min="8443" max="8443" width="28.453125" customWidth="1"/>
    <col min="8444" max="8444" width="13.26953125" customWidth="1"/>
    <col min="8445" max="8445" width="12.26953125" customWidth="1"/>
    <col min="8446" max="8446" width="15.26953125" customWidth="1"/>
    <col min="8447" max="8447" width="14.81640625" customWidth="1"/>
    <col min="8448" max="8448" width="12.1796875" bestFit="1" customWidth="1"/>
    <col min="8450" max="8450" width="10" customWidth="1"/>
    <col min="8451" max="8451" width="12.1796875" bestFit="1" customWidth="1"/>
    <col min="8694" max="8694" width="9.81640625" customWidth="1"/>
    <col min="8695" max="8695" width="9.7265625" customWidth="1"/>
    <col min="8696" max="8696" width="8.81640625" customWidth="1"/>
    <col min="8697" max="8698" width="0" hidden="1" customWidth="1"/>
    <col min="8699" max="8699" width="28.453125" customWidth="1"/>
    <col min="8700" max="8700" width="13.26953125" customWidth="1"/>
    <col min="8701" max="8701" width="12.26953125" customWidth="1"/>
    <col min="8702" max="8702" width="15.26953125" customWidth="1"/>
    <col min="8703" max="8703" width="14.81640625" customWidth="1"/>
    <col min="8704" max="8704" width="12.1796875" bestFit="1" customWidth="1"/>
    <col min="8706" max="8706" width="10" customWidth="1"/>
    <col min="8707" max="8707" width="12.1796875" bestFit="1" customWidth="1"/>
    <col min="8950" max="8950" width="9.81640625" customWidth="1"/>
    <col min="8951" max="8951" width="9.7265625" customWidth="1"/>
    <col min="8952" max="8952" width="8.81640625" customWidth="1"/>
    <col min="8953" max="8954" width="0" hidden="1" customWidth="1"/>
    <col min="8955" max="8955" width="28.453125" customWidth="1"/>
    <col min="8956" max="8956" width="13.26953125" customWidth="1"/>
    <col min="8957" max="8957" width="12.26953125" customWidth="1"/>
    <col min="8958" max="8958" width="15.26953125" customWidth="1"/>
    <col min="8959" max="8959" width="14.81640625" customWidth="1"/>
    <col min="8960" max="8960" width="12.1796875" bestFit="1" customWidth="1"/>
    <col min="8962" max="8962" width="10" customWidth="1"/>
    <col min="8963" max="8963" width="12.1796875" bestFit="1" customWidth="1"/>
    <col min="9206" max="9206" width="9.81640625" customWidth="1"/>
    <col min="9207" max="9207" width="9.7265625" customWidth="1"/>
    <col min="9208" max="9208" width="8.81640625" customWidth="1"/>
    <col min="9209" max="9210" width="0" hidden="1" customWidth="1"/>
    <col min="9211" max="9211" width="28.453125" customWidth="1"/>
    <col min="9212" max="9212" width="13.26953125" customWidth="1"/>
    <col min="9213" max="9213" width="12.26953125" customWidth="1"/>
    <col min="9214" max="9214" width="15.26953125" customWidth="1"/>
    <col min="9215" max="9215" width="14.81640625" customWidth="1"/>
    <col min="9216" max="9216" width="12.1796875" bestFit="1" customWidth="1"/>
    <col min="9218" max="9218" width="10" customWidth="1"/>
    <col min="9219" max="9219" width="12.1796875" bestFit="1" customWidth="1"/>
    <col min="9462" max="9462" width="9.81640625" customWidth="1"/>
    <col min="9463" max="9463" width="9.7265625" customWidth="1"/>
    <col min="9464" max="9464" width="8.81640625" customWidth="1"/>
    <col min="9465" max="9466" width="0" hidden="1" customWidth="1"/>
    <col min="9467" max="9467" width="28.453125" customWidth="1"/>
    <col min="9468" max="9468" width="13.26953125" customWidth="1"/>
    <col min="9469" max="9469" width="12.26953125" customWidth="1"/>
    <col min="9470" max="9470" width="15.26953125" customWidth="1"/>
    <col min="9471" max="9471" width="14.81640625" customWidth="1"/>
    <col min="9472" max="9472" width="12.1796875" bestFit="1" customWidth="1"/>
    <col min="9474" max="9474" width="10" customWidth="1"/>
    <col min="9475" max="9475" width="12.1796875" bestFit="1" customWidth="1"/>
    <col min="9718" max="9718" width="9.81640625" customWidth="1"/>
    <col min="9719" max="9719" width="9.7265625" customWidth="1"/>
    <col min="9720" max="9720" width="8.81640625" customWidth="1"/>
    <col min="9721" max="9722" width="0" hidden="1" customWidth="1"/>
    <col min="9723" max="9723" width="28.453125" customWidth="1"/>
    <col min="9724" max="9724" width="13.26953125" customWidth="1"/>
    <col min="9725" max="9725" width="12.26953125" customWidth="1"/>
    <col min="9726" max="9726" width="15.26953125" customWidth="1"/>
    <col min="9727" max="9727" width="14.81640625" customWidth="1"/>
    <col min="9728" max="9728" width="12.1796875" bestFit="1" customWidth="1"/>
    <col min="9730" max="9730" width="10" customWidth="1"/>
    <col min="9731" max="9731" width="12.1796875" bestFit="1" customWidth="1"/>
    <col min="9974" max="9974" width="9.81640625" customWidth="1"/>
    <col min="9975" max="9975" width="9.7265625" customWidth="1"/>
    <col min="9976" max="9976" width="8.81640625" customWidth="1"/>
    <col min="9977" max="9978" width="0" hidden="1" customWidth="1"/>
    <col min="9979" max="9979" width="28.453125" customWidth="1"/>
    <col min="9980" max="9980" width="13.26953125" customWidth="1"/>
    <col min="9981" max="9981" width="12.26953125" customWidth="1"/>
    <col min="9982" max="9982" width="15.26953125" customWidth="1"/>
    <col min="9983" max="9983" width="14.81640625" customWidth="1"/>
    <col min="9984" max="9984" width="12.1796875" bestFit="1" customWidth="1"/>
    <col min="9986" max="9986" width="10" customWidth="1"/>
    <col min="9987" max="9987" width="12.1796875" bestFit="1" customWidth="1"/>
    <col min="10230" max="10230" width="9.81640625" customWidth="1"/>
    <col min="10231" max="10231" width="9.7265625" customWidth="1"/>
    <col min="10232" max="10232" width="8.81640625" customWidth="1"/>
    <col min="10233" max="10234" width="0" hidden="1" customWidth="1"/>
    <col min="10235" max="10235" width="28.453125" customWidth="1"/>
    <col min="10236" max="10236" width="13.26953125" customWidth="1"/>
    <col min="10237" max="10237" width="12.26953125" customWidth="1"/>
    <col min="10238" max="10238" width="15.26953125" customWidth="1"/>
    <col min="10239" max="10239" width="14.81640625" customWidth="1"/>
    <col min="10240" max="10240" width="12.1796875" bestFit="1" customWidth="1"/>
    <col min="10242" max="10242" width="10" customWidth="1"/>
    <col min="10243" max="10243" width="12.1796875" bestFit="1" customWidth="1"/>
    <col min="10486" max="10486" width="9.81640625" customWidth="1"/>
    <col min="10487" max="10487" width="9.7265625" customWidth="1"/>
    <col min="10488" max="10488" width="8.81640625" customWidth="1"/>
    <col min="10489" max="10490" width="0" hidden="1" customWidth="1"/>
    <col min="10491" max="10491" width="28.453125" customWidth="1"/>
    <col min="10492" max="10492" width="13.26953125" customWidth="1"/>
    <col min="10493" max="10493" width="12.26953125" customWidth="1"/>
    <col min="10494" max="10494" width="15.26953125" customWidth="1"/>
    <col min="10495" max="10495" width="14.81640625" customWidth="1"/>
    <col min="10496" max="10496" width="12.1796875" bestFit="1" customWidth="1"/>
    <col min="10498" max="10498" width="10" customWidth="1"/>
    <col min="10499" max="10499" width="12.1796875" bestFit="1" customWidth="1"/>
    <col min="10742" max="10742" width="9.81640625" customWidth="1"/>
    <col min="10743" max="10743" width="9.7265625" customWidth="1"/>
    <col min="10744" max="10744" width="8.81640625" customWidth="1"/>
    <col min="10745" max="10746" width="0" hidden="1" customWidth="1"/>
    <col min="10747" max="10747" width="28.453125" customWidth="1"/>
    <col min="10748" max="10748" width="13.26953125" customWidth="1"/>
    <col min="10749" max="10749" width="12.26953125" customWidth="1"/>
    <col min="10750" max="10750" width="15.26953125" customWidth="1"/>
    <col min="10751" max="10751" width="14.81640625" customWidth="1"/>
    <col min="10752" max="10752" width="12.1796875" bestFit="1" customWidth="1"/>
    <col min="10754" max="10754" width="10" customWidth="1"/>
    <col min="10755" max="10755" width="12.1796875" bestFit="1" customWidth="1"/>
    <col min="10998" max="10998" width="9.81640625" customWidth="1"/>
    <col min="10999" max="10999" width="9.7265625" customWidth="1"/>
    <col min="11000" max="11000" width="8.81640625" customWidth="1"/>
    <col min="11001" max="11002" width="0" hidden="1" customWidth="1"/>
    <col min="11003" max="11003" width="28.453125" customWidth="1"/>
    <col min="11004" max="11004" width="13.26953125" customWidth="1"/>
    <col min="11005" max="11005" width="12.26953125" customWidth="1"/>
    <col min="11006" max="11006" width="15.26953125" customWidth="1"/>
    <col min="11007" max="11007" width="14.81640625" customWidth="1"/>
    <col min="11008" max="11008" width="12.1796875" bestFit="1" customWidth="1"/>
    <col min="11010" max="11010" width="10" customWidth="1"/>
    <col min="11011" max="11011" width="12.1796875" bestFit="1" customWidth="1"/>
    <col min="11254" max="11254" width="9.81640625" customWidth="1"/>
    <col min="11255" max="11255" width="9.7265625" customWidth="1"/>
    <col min="11256" max="11256" width="8.81640625" customWidth="1"/>
    <col min="11257" max="11258" width="0" hidden="1" customWidth="1"/>
    <col min="11259" max="11259" width="28.453125" customWidth="1"/>
    <col min="11260" max="11260" width="13.26953125" customWidth="1"/>
    <col min="11261" max="11261" width="12.26953125" customWidth="1"/>
    <col min="11262" max="11262" width="15.26953125" customWidth="1"/>
    <col min="11263" max="11263" width="14.81640625" customWidth="1"/>
    <col min="11264" max="11264" width="12.1796875" bestFit="1" customWidth="1"/>
    <col min="11266" max="11266" width="10" customWidth="1"/>
    <col min="11267" max="11267" width="12.1796875" bestFit="1" customWidth="1"/>
    <col min="11510" max="11510" width="9.81640625" customWidth="1"/>
    <col min="11511" max="11511" width="9.7265625" customWidth="1"/>
    <col min="11512" max="11512" width="8.81640625" customWidth="1"/>
    <col min="11513" max="11514" width="0" hidden="1" customWidth="1"/>
    <col min="11515" max="11515" width="28.453125" customWidth="1"/>
    <col min="11516" max="11516" width="13.26953125" customWidth="1"/>
    <col min="11517" max="11517" width="12.26953125" customWidth="1"/>
    <col min="11518" max="11518" width="15.26953125" customWidth="1"/>
    <col min="11519" max="11519" width="14.81640625" customWidth="1"/>
    <col min="11520" max="11520" width="12.1796875" bestFit="1" customWidth="1"/>
    <col min="11522" max="11522" width="10" customWidth="1"/>
    <col min="11523" max="11523" width="12.1796875" bestFit="1" customWidth="1"/>
    <col min="11766" max="11766" width="9.81640625" customWidth="1"/>
    <col min="11767" max="11767" width="9.7265625" customWidth="1"/>
    <col min="11768" max="11768" width="8.81640625" customWidth="1"/>
    <col min="11769" max="11770" width="0" hidden="1" customWidth="1"/>
    <col min="11771" max="11771" width="28.453125" customWidth="1"/>
    <col min="11772" max="11772" width="13.26953125" customWidth="1"/>
    <col min="11773" max="11773" width="12.26953125" customWidth="1"/>
    <col min="11774" max="11774" width="15.26953125" customWidth="1"/>
    <col min="11775" max="11775" width="14.81640625" customWidth="1"/>
    <col min="11776" max="11776" width="12.1796875" bestFit="1" customWidth="1"/>
    <col min="11778" max="11778" width="10" customWidth="1"/>
    <col min="11779" max="11779" width="12.1796875" bestFit="1" customWidth="1"/>
    <col min="12022" max="12022" width="9.81640625" customWidth="1"/>
    <col min="12023" max="12023" width="9.7265625" customWidth="1"/>
    <col min="12024" max="12024" width="8.81640625" customWidth="1"/>
    <col min="12025" max="12026" width="0" hidden="1" customWidth="1"/>
    <col min="12027" max="12027" width="28.453125" customWidth="1"/>
    <col min="12028" max="12028" width="13.26953125" customWidth="1"/>
    <col min="12029" max="12029" width="12.26953125" customWidth="1"/>
    <col min="12030" max="12030" width="15.26953125" customWidth="1"/>
    <col min="12031" max="12031" width="14.81640625" customWidth="1"/>
    <col min="12032" max="12032" width="12.1796875" bestFit="1" customWidth="1"/>
    <col min="12034" max="12034" width="10" customWidth="1"/>
    <col min="12035" max="12035" width="12.1796875" bestFit="1" customWidth="1"/>
    <col min="12278" max="12278" width="9.81640625" customWidth="1"/>
    <col min="12279" max="12279" width="9.7265625" customWidth="1"/>
    <col min="12280" max="12280" width="8.81640625" customWidth="1"/>
    <col min="12281" max="12282" width="0" hidden="1" customWidth="1"/>
    <col min="12283" max="12283" width="28.453125" customWidth="1"/>
    <col min="12284" max="12284" width="13.26953125" customWidth="1"/>
    <col min="12285" max="12285" width="12.26953125" customWidth="1"/>
    <col min="12286" max="12286" width="15.26953125" customWidth="1"/>
    <col min="12287" max="12287" width="14.81640625" customWidth="1"/>
    <col min="12288" max="12288" width="12.1796875" bestFit="1" customWidth="1"/>
    <col min="12290" max="12290" width="10" customWidth="1"/>
    <col min="12291" max="12291" width="12.1796875" bestFit="1" customWidth="1"/>
    <col min="12534" max="12534" width="9.81640625" customWidth="1"/>
    <col min="12535" max="12535" width="9.7265625" customWidth="1"/>
    <col min="12536" max="12536" width="8.81640625" customWidth="1"/>
    <col min="12537" max="12538" width="0" hidden="1" customWidth="1"/>
    <col min="12539" max="12539" width="28.453125" customWidth="1"/>
    <col min="12540" max="12540" width="13.26953125" customWidth="1"/>
    <col min="12541" max="12541" width="12.26953125" customWidth="1"/>
    <col min="12542" max="12542" width="15.26953125" customWidth="1"/>
    <col min="12543" max="12543" width="14.81640625" customWidth="1"/>
    <col min="12544" max="12544" width="12.1796875" bestFit="1" customWidth="1"/>
    <col min="12546" max="12546" width="10" customWidth="1"/>
    <col min="12547" max="12547" width="12.1796875" bestFit="1" customWidth="1"/>
    <col min="12790" max="12790" width="9.81640625" customWidth="1"/>
    <col min="12791" max="12791" width="9.7265625" customWidth="1"/>
    <col min="12792" max="12792" width="8.81640625" customWidth="1"/>
    <col min="12793" max="12794" width="0" hidden="1" customWidth="1"/>
    <col min="12795" max="12795" width="28.453125" customWidth="1"/>
    <col min="12796" max="12796" width="13.26953125" customWidth="1"/>
    <col min="12797" max="12797" width="12.26953125" customWidth="1"/>
    <col min="12798" max="12798" width="15.26953125" customWidth="1"/>
    <col min="12799" max="12799" width="14.81640625" customWidth="1"/>
    <col min="12800" max="12800" width="12.1796875" bestFit="1" customWidth="1"/>
    <col min="12802" max="12802" width="10" customWidth="1"/>
    <col min="12803" max="12803" width="12.1796875" bestFit="1" customWidth="1"/>
    <col min="13046" max="13046" width="9.81640625" customWidth="1"/>
    <col min="13047" max="13047" width="9.7265625" customWidth="1"/>
    <col min="13048" max="13048" width="8.81640625" customWidth="1"/>
    <col min="13049" max="13050" width="0" hidden="1" customWidth="1"/>
    <col min="13051" max="13051" width="28.453125" customWidth="1"/>
    <col min="13052" max="13052" width="13.26953125" customWidth="1"/>
    <col min="13053" max="13053" width="12.26953125" customWidth="1"/>
    <col min="13054" max="13054" width="15.26953125" customWidth="1"/>
    <col min="13055" max="13055" width="14.81640625" customWidth="1"/>
    <col min="13056" max="13056" width="12.1796875" bestFit="1" customWidth="1"/>
    <col min="13058" max="13058" width="10" customWidth="1"/>
    <col min="13059" max="13059" width="12.1796875" bestFit="1" customWidth="1"/>
    <col min="13302" max="13302" width="9.81640625" customWidth="1"/>
    <col min="13303" max="13303" width="9.7265625" customWidth="1"/>
    <col min="13304" max="13304" width="8.81640625" customWidth="1"/>
    <col min="13305" max="13306" width="0" hidden="1" customWidth="1"/>
    <col min="13307" max="13307" width="28.453125" customWidth="1"/>
    <col min="13308" max="13308" width="13.26953125" customWidth="1"/>
    <col min="13309" max="13309" width="12.26953125" customWidth="1"/>
    <col min="13310" max="13310" width="15.26953125" customWidth="1"/>
    <col min="13311" max="13311" width="14.81640625" customWidth="1"/>
    <col min="13312" max="13312" width="12.1796875" bestFit="1" customWidth="1"/>
    <col min="13314" max="13314" width="10" customWidth="1"/>
    <col min="13315" max="13315" width="12.1796875" bestFit="1" customWidth="1"/>
    <col min="13558" max="13558" width="9.81640625" customWidth="1"/>
    <col min="13559" max="13559" width="9.7265625" customWidth="1"/>
    <col min="13560" max="13560" width="8.81640625" customWidth="1"/>
    <col min="13561" max="13562" width="0" hidden="1" customWidth="1"/>
    <col min="13563" max="13563" width="28.453125" customWidth="1"/>
    <col min="13564" max="13564" width="13.26953125" customWidth="1"/>
    <col min="13565" max="13565" width="12.26953125" customWidth="1"/>
    <col min="13566" max="13566" width="15.26953125" customWidth="1"/>
    <col min="13567" max="13567" width="14.81640625" customWidth="1"/>
    <col min="13568" max="13568" width="12.1796875" bestFit="1" customWidth="1"/>
    <col min="13570" max="13570" width="10" customWidth="1"/>
    <col min="13571" max="13571" width="12.1796875" bestFit="1" customWidth="1"/>
    <col min="13814" max="13814" width="9.81640625" customWidth="1"/>
    <col min="13815" max="13815" width="9.7265625" customWidth="1"/>
    <col min="13816" max="13816" width="8.81640625" customWidth="1"/>
    <col min="13817" max="13818" width="0" hidden="1" customWidth="1"/>
    <col min="13819" max="13819" width="28.453125" customWidth="1"/>
    <col min="13820" max="13820" width="13.26953125" customWidth="1"/>
    <col min="13821" max="13821" width="12.26953125" customWidth="1"/>
    <col min="13822" max="13822" width="15.26953125" customWidth="1"/>
    <col min="13823" max="13823" width="14.81640625" customWidth="1"/>
    <col min="13824" max="13824" width="12.1796875" bestFit="1" customWidth="1"/>
    <col min="13826" max="13826" width="10" customWidth="1"/>
    <col min="13827" max="13827" width="12.1796875" bestFit="1" customWidth="1"/>
    <col min="14070" max="14070" width="9.81640625" customWidth="1"/>
    <col min="14071" max="14071" width="9.7265625" customWidth="1"/>
    <col min="14072" max="14072" width="8.81640625" customWidth="1"/>
    <col min="14073" max="14074" width="0" hidden="1" customWidth="1"/>
    <col min="14075" max="14075" width="28.453125" customWidth="1"/>
    <col min="14076" max="14076" width="13.26953125" customWidth="1"/>
    <col min="14077" max="14077" width="12.26953125" customWidth="1"/>
    <col min="14078" max="14078" width="15.26953125" customWidth="1"/>
    <col min="14079" max="14079" width="14.81640625" customWidth="1"/>
    <col min="14080" max="14080" width="12.1796875" bestFit="1" customWidth="1"/>
    <col min="14082" max="14082" width="10" customWidth="1"/>
    <col min="14083" max="14083" width="12.1796875" bestFit="1" customWidth="1"/>
    <col min="14326" max="14326" width="9.81640625" customWidth="1"/>
    <col min="14327" max="14327" width="9.7265625" customWidth="1"/>
    <col min="14328" max="14328" width="8.81640625" customWidth="1"/>
    <col min="14329" max="14330" width="0" hidden="1" customWidth="1"/>
    <col min="14331" max="14331" width="28.453125" customWidth="1"/>
    <col min="14332" max="14332" width="13.26953125" customWidth="1"/>
    <col min="14333" max="14333" width="12.26953125" customWidth="1"/>
    <col min="14334" max="14334" width="15.26953125" customWidth="1"/>
    <col min="14335" max="14335" width="14.81640625" customWidth="1"/>
    <col min="14336" max="14336" width="12.1796875" bestFit="1" customWidth="1"/>
    <col min="14338" max="14338" width="10" customWidth="1"/>
    <col min="14339" max="14339" width="12.1796875" bestFit="1" customWidth="1"/>
    <col min="14582" max="14582" width="9.81640625" customWidth="1"/>
    <col min="14583" max="14583" width="9.7265625" customWidth="1"/>
    <col min="14584" max="14584" width="8.81640625" customWidth="1"/>
    <col min="14585" max="14586" width="0" hidden="1" customWidth="1"/>
    <col min="14587" max="14587" width="28.453125" customWidth="1"/>
    <col min="14588" max="14588" width="13.26953125" customWidth="1"/>
    <col min="14589" max="14589" width="12.26953125" customWidth="1"/>
    <col min="14590" max="14590" width="15.26953125" customWidth="1"/>
    <col min="14591" max="14591" width="14.81640625" customWidth="1"/>
    <col min="14592" max="14592" width="12.1796875" bestFit="1" customWidth="1"/>
    <col min="14594" max="14594" width="10" customWidth="1"/>
    <col min="14595" max="14595" width="12.1796875" bestFit="1" customWidth="1"/>
    <col min="14838" max="14838" width="9.81640625" customWidth="1"/>
    <col min="14839" max="14839" width="9.7265625" customWidth="1"/>
    <col min="14840" max="14840" width="8.81640625" customWidth="1"/>
    <col min="14841" max="14842" width="0" hidden="1" customWidth="1"/>
    <col min="14843" max="14843" width="28.453125" customWidth="1"/>
    <col min="14844" max="14844" width="13.26953125" customWidth="1"/>
    <col min="14845" max="14845" width="12.26953125" customWidth="1"/>
    <col min="14846" max="14846" width="15.26953125" customWidth="1"/>
    <col min="14847" max="14847" width="14.81640625" customWidth="1"/>
    <col min="14848" max="14848" width="12.1796875" bestFit="1" customWidth="1"/>
    <col min="14850" max="14850" width="10" customWidth="1"/>
    <col min="14851" max="14851" width="12.1796875" bestFit="1" customWidth="1"/>
    <col min="15094" max="15094" width="9.81640625" customWidth="1"/>
    <col min="15095" max="15095" width="9.7265625" customWidth="1"/>
    <col min="15096" max="15096" width="8.81640625" customWidth="1"/>
    <col min="15097" max="15098" width="0" hidden="1" customWidth="1"/>
    <col min="15099" max="15099" width="28.453125" customWidth="1"/>
    <col min="15100" max="15100" width="13.26953125" customWidth="1"/>
    <col min="15101" max="15101" width="12.26953125" customWidth="1"/>
    <col min="15102" max="15102" width="15.26953125" customWidth="1"/>
    <col min="15103" max="15103" width="14.81640625" customWidth="1"/>
    <col min="15104" max="15104" width="12.1796875" bestFit="1" customWidth="1"/>
    <col min="15106" max="15106" width="10" customWidth="1"/>
    <col min="15107" max="15107" width="12.1796875" bestFit="1" customWidth="1"/>
    <col min="15350" max="15350" width="9.81640625" customWidth="1"/>
    <col min="15351" max="15351" width="9.7265625" customWidth="1"/>
    <col min="15352" max="15352" width="8.81640625" customWidth="1"/>
    <col min="15353" max="15354" width="0" hidden="1" customWidth="1"/>
    <col min="15355" max="15355" width="28.453125" customWidth="1"/>
    <col min="15356" max="15356" width="13.26953125" customWidth="1"/>
    <col min="15357" max="15357" width="12.26953125" customWidth="1"/>
    <col min="15358" max="15358" width="15.26953125" customWidth="1"/>
    <col min="15359" max="15359" width="14.81640625" customWidth="1"/>
    <col min="15360" max="15360" width="12.1796875" bestFit="1" customWidth="1"/>
    <col min="15362" max="15362" width="10" customWidth="1"/>
    <col min="15363" max="15363" width="12.1796875" bestFit="1" customWidth="1"/>
    <col min="15606" max="15606" width="9.81640625" customWidth="1"/>
    <col min="15607" max="15607" width="9.7265625" customWidth="1"/>
    <col min="15608" max="15608" width="8.81640625" customWidth="1"/>
    <col min="15609" max="15610" width="0" hidden="1" customWidth="1"/>
    <col min="15611" max="15611" width="28.453125" customWidth="1"/>
    <col min="15612" max="15612" width="13.26953125" customWidth="1"/>
    <col min="15613" max="15613" width="12.26953125" customWidth="1"/>
    <col min="15614" max="15614" width="15.26953125" customWidth="1"/>
    <col min="15615" max="15615" width="14.81640625" customWidth="1"/>
    <col min="15616" max="15616" width="12.1796875" bestFit="1" customWidth="1"/>
    <col min="15618" max="15618" width="10" customWidth="1"/>
    <col min="15619" max="15619" width="12.1796875" bestFit="1" customWidth="1"/>
    <col min="15862" max="15862" width="9.81640625" customWidth="1"/>
    <col min="15863" max="15863" width="9.7265625" customWidth="1"/>
    <col min="15864" max="15864" width="8.81640625" customWidth="1"/>
    <col min="15865" max="15866" width="0" hidden="1" customWidth="1"/>
    <col min="15867" max="15867" width="28.453125" customWidth="1"/>
    <col min="15868" max="15868" width="13.26953125" customWidth="1"/>
    <col min="15869" max="15869" width="12.26953125" customWidth="1"/>
    <col min="15870" max="15870" width="15.26953125" customWidth="1"/>
    <col min="15871" max="15871" width="14.81640625" customWidth="1"/>
    <col min="15872" max="15872" width="12.1796875" bestFit="1" customWidth="1"/>
    <col min="15874" max="15874" width="10" customWidth="1"/>
    <col min="15875" max="15875" width="12.1796875" bestFit="1" customWidth="1"/>
    <col min="16118" max="16118" width="9.81640625" customWidth="1"/>
    <col min="16119" max="16119" width="9.7265625" customWidth="1"/>
    <col min="16120" max="16120" width="8.81640625" customWidth="1"/>
    <col min="16121" max="16122" width="0" hidden="1" customWidth="1"/>
    <col min="16123" max="16123" width="28.453125" customWidth="1"/>
    <col min="16124" max="16124" width="13.26953125" customWidth="1"/>
    <col min="16125" max="16125" width="12.26953125" customWidth="1"/>
    <col min="16126" max="16126" width="15.26953125" customWidth="1"/>
    <col min="16127" max="16127" width="14.81640625" customWidth="1"/>
    <col min="16128" max="16128" width="12.1796875" bestFit="1" customWidth="1"/>
    <col min="16130" max="16130" width="10" customWidth="1"/>
    <col min="16131" max="16131" width="12.1796875" bestFit="1" customWidth="1"/>
  </cols>
  <sheetData>
    <row r="1" spans="1:12" ht="21" x14ac:dyDescent="0.5">
      <c r="A1" s="17" t="s">
        <v>15</v>
      </c>
      <c r="B1" s="1"/>
    </row>
    <row r="2" spans="1:12" ht="21" x14ac:dyDescent="0.5">
      <c r="A2" s="17" t="s">
        <v>27</v>
      </c>
      <c r="B2" s="1"/>
    </row>
    <row r="3" spans="1:12" x14ac:dyDescent="0.35">
      <c r="C3" s="1"/>
    </row>
    <row r="4" spans="1:12" x14ac:dyDescent="0.35">
      <c r="A4" s="1"/>
      <c r="C4" s="1"/>
      <c r="D4" s="1"/>
    </row>
    <row r="5" spans="1:12" x14ac:dyDescent="0.35">
      <c r="A5" s="1"/>
    </row>
    <row r="6" spans="1:12" x14ac:dyDescent="0.35">
      <c r="A6" s="1"/>
    </row>
    <row r="7" spans="1:12" x14ac:dyDescent="0.35">
      <c r="G7" s="20" t="s">
        <v>16</v>
      </c>
      <c r="H7" s="20" t="s">
        <v>16</v>
      </c>
      <c r="I7" s="21" t="s">
        <v>17</v>
      </c>
      <c r="J7" s="24" t="s">
        <v>18</v>
      </c>
      <c r="L7" s="21" t="s">
        <v>0</v>
      </c>
    </row>
    <row r="8" spans="1:12" x14ac:dyDescent="0.35">
      <c r="G8" s="22">
        <v>2020</v>
      </c>
      <c r="H8" s="23">
        <v>2021</v>
      </c>
      <c r="I8" s="18">
        <v>2022</v>
      </c>
      <c r="J8" s="25">
        <v>2022</v>
      </c>
      <c r="L8" s="4">
        <v>2023</v>
      </c>
    </row>
    <row r="9" spans="1:12" x14ac:dyDescent="0.35">
      <c r="A9" s="5"/>
      <c r="B9" s="5"/>
      <c r="C9" s="5"/>
      <c r="D9" s="5"/>
      <c r="E9" s="5"/>
      <c r="F9" s="5"/>
    </row>
    <row r="10" spans="1:12" x14ac:dyDescent="0.35">
      <c r="A10" s="1" t="str">
        <f>"Rörelsens intäkter mm"</f>
        <v>Rörelsens intäkter mm</v>
      </c>
    </row>
    <row r="11" spans="1:12" x14ac:dyDescent="0.35">
      <c r="B11" s="1" t="str">
        <f>"Nettoomsättning"</f>
        <v>Nettoomsättning</v>
      </c>
      <c r="I11" s="6"/>
    </row>
    <row r="12" spans="1:12" x14ac:dyDescent="0.35">
      <c r="C12" s="1" t="str">
        <f>"3010"</f>
        <v>3010</v>
      </c>
      <c r="F12" s="1" t="str">
        <f>"Sayo"</f>
        <v>Sayo</v>
      </c>
      <c r="G12" s="2">
        <v>68900</v>
      </c>
      <c r="H12" s="2">
        <v>85091.16</v>
      </c>
      <c r="I12" s="6">
        <v>214141.02</v>
      </c>
      <c r="J12" s="6">
        <v>175000</v>
      </c>
      <c r="L12" s="7">
        <v>240000</v>
      </c>
    </row>
    <row r="13" spans="1:12" x14ac:dyDescent="0.35">
      <c r="C13" s="1" t="str">
        <f>"3020"</f>
        <v>3020</v>
      </c>
      <c r="F13" s="1" t="str">
        <f>"Sayo indoor"</f>
        <v>Sayo indoor</v>
      </c>
      <c r="G13" s="2">
        <v>270</v>
      </c>
      <c r="H13" s="2">
        <f>71500+500</f>
        <v>72000</v>
      </c>
      <c r="I13" s="6">
        <v>125800</v>
      </c>
      <c r="J13" s="6">
        <v>70000</v>
      </c>
      <c r="L13" s="33">
        <v>110000</v>
      </c>
    </row>
    <row r="14" spans="1:12" x14ac:dyDescent="0.35">
      <c r="C14" s="1" t="str">
        <f>"3045"</f>
        <v>3045</v>
      </c>
      <c r="F14" s="1" t="str">
        <f>"Turebergsstafetten"</f>
        <v>Turebergsstafetten</v>
      </c>
      <c r="G14" s="2">
        <v>4600</v>
      </c>
      <c r="H14" s="2">
        <v>0</v>
      </c>
      <c r="I14" s="6">
        <v>40200</v>
      </c>
      <c r="J14" s="6">
        <v>70000</v>
      </c>
      <c r="L14" s="7">
        <v>65000</v>
      </c>
    </row>
    <row r="15" spans="1:12" x14ac:dyDescent="0.35">
      <c r="C15" s="1" t="str">
        <f>"3050"</f>
        <v>3050</v>
      </c>
      <c r="F15" s="1" t="str">
        <f>"Friidrottsskola"</f>
        <v>Friidrottsskola</v>
      </c>
      <c r="G15" s="2">
        <v>861296</v>
      </c>
      <c r="H15" s="2">
        <v>930597.5</v>
      </c>
      <c r="I15" s="6">
        <v>877649.88</v>
      </c>
      <c r="J15" s="6">
        <v>930000</v>
      </c>
      <c r="L15" s="33">
        <v>930000</v>
      </c>
    </row>
    <row r="16" spans="1:12" x14ac:dyDescent="0.35">
      <c r="C16" s="1" t="str">
        <f>"3055"</f>
        <v>3055</v>
      </c>
      <c r="F16" s="1" t="str">
        <f>"Edsbacka marknad"</f>
        <v>Edsbacka marknad</v>
      </c>
      <c r="G16" s="2">
        <v>0</v>
      </c>
      <c r="H16" s="2">
        <v>1500</v>
      </c>
      <c r="I16" s="6">
        <v>85800</v>
      </c>
      <c r="J16" s="6">
        <v>75000</v>
      </c>
      <c r="L16" s="7">
        <v>95000</v>
      </c>
    </row>
    <row r="17" spans="1:12" x14ac:dyDescent="0.35">
      <c r="C17" s="1" t="str">
        <f>"3060"</f>
        <v>3060</v>
      </c>
      <c r="F17" s="1" t="str">
        <f>"Övriga arrangemang TFK"</f>
        <v>Övriga arrangemang TFK</v>
      </c>
      <c r="G17" s="2">
        <v>217919</v>
      </c>
      <c r="H17" s="2">
        <v>135040</v>
      </c>
      <c r="I17" s="6">
        <v>121595</v>
      </c>
      <c r="J17" s="6">
        <v>150000</v>
      </c>
      <c r="L17" s="34">
        <v>268000</v>
      </c>
    </row>
    <row r="18" spans="1:12" x14ac:dyDescent="0.35">
      <c r="C18" s="1" t="str">
        <f>"3061"</f>
        <v>3061</v>
      </c>
      <c r="F18" s="1" t="str">
        <f>"Finansloppet/mediaruset"</f>
        <v>Finansloppet/mediaruset</v>
      </c>
      <c r="G18" s="2">
        <v>0</v>
      </c>
      <c r="H18" s="2">
        <v>0</v>
      </c>
      <c r="I18" s="6">
        <v>100000</v>
      </c>
      <c r="J18" s="6">
        <v>90000</v>
      </c>
      <c r="L18" s="7">
        <v>100000</v>
      </c>
    </row>
    <row r="19" spans="1:12" x14ac:dyDescent="0.35">
      <c r="C19" s="1" t="str">
        <f>"3062"</f>
        <v>3062</v>
      </c>
      <c r="F19" s="1" t="str">
        <f>"Klara Milen"</f>
        <v>Klara Milen</v>
      </c>
      <c r="G19" s="2">
        <v>17920</v>
      </c>
      <c r="I19" s="6"/>
    </row>
    <row r="20" spans="1:12" x14ac:dyDescent="0.35">
      <c r="C20" s="1" t="s">
        <v>1</v>
      </c>
      <c r="F20" s="1" t="s">
        <v>12</v>
      </c>
      <c r="G20" s="2">
        <v>15000</v>
      </c>
      <c r="I20" s="6">
        <v>185035</v>
      </c>
      <c r="J20" s="6">
        <v>150000</v>
      </c>
    </row>
    <row r="21" spans="1:12" x14ac:dyDescent="0.35">
      <c r="C21" s="1" t="str">
        <f>"3070"</f>
        <v>3070</v>
      </c>
      <c r="F21" s="1" t="str">
        <f>"Sollentuna GP"</f>
        <v>Sollentuna GP</v>
      </c>
      <c r="G21" s="2">
        <v>19200</v>
      </c>
      <c r="H21" s="2">
        <v>30100</v>
      </c>
      <c r="I21" s="6">
        <v>76926</v>
      </c>
    </row>
    <row r="22" spans="1:12" x14ac:dyDescent="0.35">
      <c r="C22" s="1" t="str">
        <f>"3075"</f>
        <v>3075</v>
      </c>
      <c r="F22" s="1" t="str">
        <f>"Stockholm Halvmarathon"</f>
        <v>Stockholm Halvmarathon</v>
      </c>
      <c r="G22" s="2">
        <v>-3000</v>
      </c>
      <c r="H22" s="2">
        <f>83232-40000+102000</f>
        <v>145232</v>
      </c>
      <c r="I22" s="6">
        <v>160000</v>
      </c>
      <c r="J22" s="6">
        <v>400000</v>
      </c>
      <c r="L22" s="7">
        <v>300000</v>
      </c>
    </row>
    <row r="23" spans="1:12" x14ac:dyDescent="0.35">
      <c r="C23" s="1" t="str">
        <f>"3130"</f>
        <v>3130</v>
      </c>
      <c r="F23" s="1" t="str">
        <f>"Tävlingsdräkt/overall TFK"</f>
        <v>Tävlingsdräkt/overall TFK</v>
      </c>
      <c r="G23" s="2">
        <v>0</v>
      </c>
      <c r="H23" s="2">
        <v>3796</v>
      </c>
      <c r="I23" s="6">
        <v>23256</v>
      </c>
      <c r="J23" s="6">
        <v>5000</v>
      </c>
      <c r="L23" s="7">
        <v>0</v>
      </c>
    </row>
    <row r="24" spans="1:12" x14ac:dyDescent="0.35">
      <c r="C24" s="1" t="str">
        <f>"3150"</f>
        <v>3150</v>
      </c>
      <c r="F24" s="1" t="str">
        <f>"Försäljning"</f>
        <v>Försäljning</v>
      </c>
      <c r="G24" s="2">
        <v>36116</v>
      </c>
      <c r="H24" s="2">
        <v>49320</v>
      </c>
      <c r="I24" s="6">
        <v>248672.64000000001</v>
      </c>
      <c r="J24" s="6">
        <v>150000</v>
      </c>
      <c r="L24" s="33">
        <v>170000</v>
      </c>
    </row>
    <row r="25" spans="1:12" x14ac:dyDescent="0.35">
      <c r="C25" s="1" t="str">
        <f>"3200"</f>
        <v>3200</v>
      </c>
      <c r="F25" s="1" t="str">
        <f>"Läger/tävlingsresor"</f>
        <v>Läger/tävlingsresor</v>
      </c>
      <c r="G25" s="2">
        <v>182222</v>
      </c>
      <c r="H25" s="2">
        <v>58429</v>
      </c>
      <c r="I25" s="6">
        <v>258656.68</v>
      </c>
      <c r="J25" s="6">
        <v>250000</v>
      </c>
      <c r="L25" s="7">
        <v>250000</v>
      </c>
    </row>
    <row r="26" spans="1:12" x14ac:dyDescent="0.35">
      <c r="C26" s="1" t="str">
        <f>"3310"</f>
        <v>3310</v>
      </c>
      <c r="F26" s="1" t="str">
        <f>"Sponsorer"</f>
        <v>Sponsorer</v>
      </c>
      <c r="G26" s="2">
        <v>395917</v>
      </c>
      <c r="H26" s="2">
        <f>407051+900</f>
        <v>407951</v>
      </c>
      <c r="I26" s="6">
        <v>368566.02</v>
      </c>
      <c r="J26" s="6">
        <v>410000</v>
      </c>
      <c r="L26" s="33">
        <v>390000</v>
      </c>
    </row>
    <row r="27" spans="1:12" x14ac:dyDescent="0.35">
      <c r="C27" s="1" t="str">
        <f>"3330"</f>
        <v>3330</v>
      </c>
      <c r="F27" s="1" t="str">
        <f>"Annonstavlor"</f>
        <v>Annonstavlor</v>
      </c>
      <c r="G27" s="2">
        <v>17316</v>
      </c>
      <c r="H27" s="2">
        <v>17316</v>
      </c>
      <c r="I27" s="6">
        <v>17564</v>
      </c>
      <c r="J27" s="6">
        <v>17000</v>
      </c>
      <c r="L27" s="7">
        <v>17600</v>
      </c>
    </row>
    <row r="28" spans="1:12" x14ac:dyDescent="0.35">
      <c r="C28" s="1" t="str">
        <f>"3400"</f>
        <v>3400</v>
      </c>
      <c r="F28" s="1" t="str">
        <f>"Medlemsavgifter"</f>
        <v>Medlemsavgifter</v>
      </c>
      <c r="G28" s="2">
        <v>335813</v>
      </c>
      <c r="H28" s="2">
        <v>351725</v>
      </c>
      <c r="I28" s="6">
        <v>381270.5</v>
      </c>
      <c r="J28" s="6">
        <v>350000</v>
      </c>
      <c r="L28" s="7">
        <v>400000</v>
      </c>
    </row>
    <row r="29" spans="1:12" x14ac:dyDescent="0.35">
      <c r="C29" s="1" t="str">
        <f>"3410"</f>
        <v>3410</v>
      </c>
      <c r="F29" s="1" t="str">
        <f>"Träningsavgifter"</f>
        <v>Träningsavgifter</v>
      </c>
      <c r="G29" s="2">
        <v>2527824</v>
      </c>
      <c r="H29" s="2">
        <v>2228306</v>
      </c>
      <c r="I29" s="6">
        <v>2582657.5</v>
      </c>
      <c r="J29" s="6">
        <v>2235000</v>
      </c>
      <c r="L29" s="33">
        <v>3100000</v>
      </c>
    </row>
    <row r="30" spans="1:12" x14ac:dyDescent="0.35">
      <c r="C30" s="1" t="str">
        <f>"3500"</f>
        <v>3500</v>
      </c>
      <c r="F30" s="1" t="str">
        <f>"Bingoutdelning"</f>
        <v>Bingoutdelning</v>
      </c>
      <c r="G30" s="2">
        <v>45789</v>
      </c>
      <c r="H30" s="2">
        <v>37817</v>
      </c>
      <c r="I30" s="6">
        <v>45246.31</v>
      </c>
      <c r="J30" s="6">
        <v>40000</v>
      </c>
      <c r="L30" s="7">
        <v>42000</v>
      </c>
    </row>
    <row r="31" spans="1:12" x14ac:dyDescent="0.35">
      <c r="A31" s="11"/>
      <c r="B31" s="11"/>
      <c r="C31" s="11" t="s">
        <v>19</v>
      </c>
      <c r="D31" s="11"/>
      <c r="E31" s="11"/>
      <c r="F31" s="11" t="s">
        <v>20</v>
      </c>
      <c r="G31" s="12"/>
      <c r="H31" s="12"/>
      <c r="I31" s="13">
        <v>8248</v>
      </c>
      <c r="L31" s="7"/>
    </row>
    <row r="32" spans="1:12" x14ac:dyDescent="0.35">
      <c r="C32" s="16" t="str">
        <f>"S:a Nettoomsättning"</f>
        <v>S:a Nettoomsättning</v>
      </c>
      <c r="D32" s="4"/>
      <c r="E32" s="4"/>
      <c r="F32" s="4"/>
      <c r="G32" s="3">
        <f>SUM(G12:G30)</f>
        <v>4743102</v>
      </c>
      <c r="H32" s="3">
        <f>SUM(H11:H31)</f>
        <v>4554220.66</v>
      </c>
      <c r="I32" s="3">
        <f>SUM(I11:I31)</f>
        <v>5921284.5499999998</v>
      </c>
      <c r="J32" s="15">
        <f>SUM(J11:J31)</f>
        <v>5567000</v>
      </c>
      <c r="K32" s="14"/>
      <c r="L32" s="15">
        <f>SUM(L11:L31)</f>
        <v>6477600</v>
      </c>
    </row>
    <row r="34" spans="1:12" x14ac:dyDescent="0.35">
      <c r="B34" s="1" t="str">
        <f>"Övriga rörelseintäkter"</f>
        <v>Övriga rörelseintäkter</v>
      </c>
    </row>
    <row r="35" spans="1:12" x14ac:dyDescent="0.35">
      <c r="C35" s="1" t="str">
        <f>"3901"</f>
        <v>3901</v>
      </c>
      <c r="F35" s="1" t="str">
        <f>"Lokak statligt"</f>
        <v>Lokak statligt</v>
      </c>
      <c r="G35" s="2">
        <v>299629</v>
      </c>
      <c r="H35" s="2">
        <f>265376+21300</f>
        <v>286676</v>
      </c>
      <c r="I35" s="6">
        <v>328277.96000000002</v>
      </c>
      <c r="J35" s="6">
        <v>280000</v>
      </c>
      <c r="L35" s="7">
        <v>295000</v>
      </c>
    </row>
    <row r="36" spans="1:12" x14ac:dyDescent="0.35">
      <c r="C36" s="1" t="str">
        <f>"3902"</f>
        <v>3902</v>
      </c>
      <c r="F36" s="1" t="str">
        <f>"Lokak kommunalt"</f>
        <v>Lokak kommunalt</v>
      </c>
      <c r="G36" s="2">
        <v>188130</v>
      </c>
      <c r="H36" s="2">
        <v>178169</v>
      </c>
      <c r="I36" s="6">
        <v>198194.5</v>
      </c>
      <c r="J36" s="6">
        <v>185000</v>
      </c>
      <c r="L36" s="7">
        <v>210000</v>
      </c>
    </row>
    <row r="37" spans="1:12" x14ac:dyDescent="0.35">
      <c r="C37" s="1" t="str">
        <f>"3910"</f>
        <v>3910</v>
      </c>
      <c r="F37" s="1" t="str">
        <f>"Idrottslyftet"</f>
        <v>Idrottslyftet</v>
      </c>
      <c r="G37" s="2">
        <v>51200</v>
      </c>
      <c r="H37" s="2">
        <v>101800</v>
      </c>
      <c r="I37" s="6">
        <v>97200</v>
      </c>
      <c r="J37" s="6">
        <v>40000</v>
      </c>
      <c r="L37" s="7">
        <v>70000</v>
      </c>
    </row>
    <row r="38" spans="1:12" x14ac:dyDescent="0.35">
      <c r="C38" s="1" t="str">
        <f>"3911"</f>
        <v>3911</v>
      </c>
      <c r="F38" s="1" t="str">
        <f>"Sisu"</f>
        <v>Sisu</v>
      </c>
      <c r="G38" s="2">
        <v>3750</v>
      </c>
      <c r="H38" s="2">
        <v>23269</v>
      </c>
      <c r="I38" s="6">
        <v>14700</v>
      </c>
      <c r="L38" s="7">
        <v>25000</v>
      </c>
    </row>
    <row r="39" spans="1:12" x14ac:dyDescent="0.35">
      <c r="C39" s="1" t="str">
        <f>"3921"</f>
        <v>3921</v>
      </c>
      <c r="F39" s="1" t="str">
        <f>"Träningsbidrag"</f>
        <v>Träningsbidrag</v>
      </c>
      <c r="G39" s="2">
        <v>41662</v>
      </c>
      <c r="H39" s="2">
        <v>2000</v>
      </c>
      <c r="I39" s="6">
        <v>1000</v>
      </c>
      <c r="L39" s="7">
        <v>0</v>
      </c>
    </row>
    <row r="40" spans="1:12" x14ac:dyDescent="0.35">
      <c r="C40" s="8">
        <v>3988</v>
      </c>
      <c r="F40" t="s">
        <v>2</v>
      </c>
      <c r="G40" s="2">
        <v>386167</v>
      </c>
      <c r="H40" s="2">
        <f>48505</f>
        <v>48505</v>
      </c>
      <c r="I40" s="6"/>
      <c r="L40" s="7">
        <v>0</v>
      </c>
    </row>
    <row r="41" spans="1:12" x14ac:dyDescent="0.35">
      <c r="C41" s="1" t="str">
        <f>"3990"</f>
        <v>3990</v>
      </c>
      <c r="F41" s="1" t="str">
        <f>"Övriga ersättningar och intäkter"</f>
        <v>Övriga ersättningar och intäkter</v>
      </c>
      <c r="G41" s="2">
        <v>195000</v>
      </c>
      <c r="H41" s="2">
        <f>15054+47000</f>
        <v>62054</v>
      </c>
      <c r="I41" s="6"/>
      <c r="L41" s="25">
        <v>0</v>
      </c>
    </row>
    <row r="42" spans="1:12" x14ac:dyDescent="0.35">
      <c r="A42" s="5"/>
      <c r="B42" s="5"/>
      <c r="C42" s="5"/>
      <c r="D42" s="5"/>
      <c r="E42" s="5"/>
      <c r="F42" s="5"/>
      <c r="G42" s="9"/>
      <c r="H42" s="9"/>
      <c r="I42" s="14"/>
      <c r="J42" s="26"/>
      <c r="K42" s="26"/>
      <c r="L42" s="26"/>
    </row>
    <row r="43" spans="1:12" x14ac:dyDescent="0.35">
      <c r="C43" s="16" t="str">
        <f>"S:a Övriga rörelseintäkter"</f>
        <v>S:a Övriga rörelseintäkter</v>
      </c>
      <c r="D43" s="4"/>
      <c r="E43" s="4"/>
      <c r="F43" s="4"/>
      <c r="G43" s="3">
        <f>SUM(G35:G42)</f>
        <v>1165538</v>
      </c>
      <c r="H43" s="3">
        <f>SUM(H33:H42)</f>
        <v>702473</v>
      </c>
      <c r="I43" s="3">
        <f>SUM(I33:I42)</f>
        <v>639372.46</v>
      </c>
      <c r="J43" s="3">
        <f>SUM(J33:J42)</f>
        <v>505000</v>
      </c>
      <c r="K43" s="3"/>
      <c r="L43" s="3">
        <f t="shared" ref="L43" si="0">SUM(L33:L42)</f>
        <v>600000</v>
      </c>
    </row>
    <row r="45" spans="1:12" x14ac:dyDescent="0.35">
      <c r="A45" s="5"/>
      <c r="B45" s="5"/>
      <c r="C45" s="5"/>
      <c r="D45" s="5"/>
      <c r="E45" s="5"/>
      <c r="F45" s="5"/>
      <c r="G45" s="27">
        <v>2020</v>
      </c>
      <c r="H45" s="28">
        <v>2021</v>
      </c>
      <c r="I45" s="29">
        <v>2022</v>
      </c>
      <c r="J45" s="30">
        <v>2022</v>
      </c>
      <c r="K45" s="30"/>
      <c r="L45" s="30">
        <v>2024</v>
      </c>
    </row>
    <row r="46" spans="1:12" x14ac:dyDescent="0.35">
      <c r="B46" s="16" t="str">
        <f>"S:a Rörelseintäkter mm"</f>
        <v>S:a Rörelseintäkter mm</v>
      </c>
      <c r="C46" s="4"/>
      <c r="D46" s="4"/>
      <c r="E46" s="4"/>
      <c r="F46" s="4"/>
      <c r="G46" s="3">
        <f>+G43+G32+1</f>
        <v>5908641</v>
      </c>
      <c r="H46" s="3">
        <f>+H43+H32</f>
        <v>5256693.66</v>
      </c>
      <c r="I46" s="3">
        <f t="shared" ref="I46:J46" si="1">+I43+I32</f>
        <v>6560657.0099999998</v>
      </c>
      <c r="J46" s="3">
        <f t="shared" si="1"/>
        <v>6072000</v>
      </c>
      <c r="K46" s="3"/>
      <c r="L46" s="3">
        <f t="shared" ref="L46" si="2">+L43+L32</f>
        <v>7077600</v>
      </c>
    </row>
    <row r="48" spans="1:12" x14ac:dyDescent="0.35">
      <c r="A48" s="16" t="str">
        <f>"Rörelsens kostnader"</f>
        <v>Rörelsens kostnader</v>
      </c>
      <c r="B48" s="4"/>
      <c r="C48" s="4"/>
      <c r="D48" s="4"/>
      <c r="E48" s="4"/>
      <c r="F48" s="4"/>
    </row>
    <row r="49" spans="1:12" x14ac:dyDescent="0.35">
      <c r="A49" s="4"/>
      <c r="B49" s="16" t="str">
        <f>"Råvaror och förnödenheter mm"</f>
        <v>Råvaror och förnödenheter mm</v>
      </c>
      <c r="C49" s="4"/>
      <c r="D49" s="4"/>
      <c r="E49" s="4"/>
      <c r="F49" s="4"/>
    </row>
    <row r="50" spans="1:12" x14ac:dyDescent="0.35">
      <c r="C50" s="1" t="str">
        <f>"4010"</f>
        <v>4010</v>
      </c>
      <c r="F50" s="1" t="str">
        <f>"Sayo"</f>
        <v>Sayo</v>
      </c>
      <c r="G50" s="2">
        <v>-17504</v>
      </c>
      <c r="H50" s="2">
        <v>-26463</v>
      </c>
      <c r="I50" s="6">
        <v>-52149</v>
      </c>
      <c r="J50" s="6">
        <v>-50000</v>
      </c>
      <c r="L50" s="7">
        <v>-55000</v>
      </c>
    </row>
    <row r="51" spans="1:12" x14ac:dyDescent="0.35">
      <c r="C51" s="1" t="str">
        <f>"4020"</f>
        <v>4020</v>
      </c>
      <c r="F51" s="1" t="str">
        <f>"Sayo indoor"</f>
        <v>Sayo indoor</v>
      </c>
      <c r="G51" s="2">
        <v>0</v>
      </c>
      <c r="H51" s="2">
        <v>-4990</v>
      </c>
      <c r="I51" s="6">
        <v>-20761</v>
      </c>
      <c r="J51" s="6">
        <v>-15000</v>
      </c>
      <c r="L51" s="7">
        <v>-20000</v>
      </c>
    </row>
    <row r="52" spans="1:12" x14ac:dyDescent="0.35">
      <c r="C52" s="1" t="str">
        <f>"4045"</f>
        <v>4045</v>
      </c>
      <c r="F52" s="1" t="str">
        <f>"Turebergsstafetten"</f>
        <v>Turebergsstafetten</v>
      </c>
      <c r="G52" s="2">
        <v>-700</v>
      </c>
      <c r="H52" s="2">
        <v>0</v>
      </c>
      <c r="I52" s="6">
        <v>-13545.03</v>
      </c>
      <c r="J52" s="6">
        <v>-10000</v>
      </c>
      <c r="L52" s="7">
        <v>-15000</v>
      </c>
    </row>
    <row r="53" spans="1:12" x14ac:dyDescent="0.35">
      <c r="C53" s="1" t="str">
        <f>"4050"</f>
        <v>4050</v>
      </c>
      <c r="F53" s="1" t="str">
        <f>"Friidrottsskola"</f>
        <v>Friidrottsskola</v>
      </c>
      <c r="G53" s="2">
        <v>-341130</v>
      </c>
      <c r="H53" s="6">
        <v>-373993.26</v>
      </c>
      <c r="I53" s="6">
        <v>-368214.95</v>
      </c>
      <c r="J53" s="6">
        <v>-400000</v>
      </c>
      <c r="L53" s="7">
        <v>-390000</v>
      </c>
    </row>
    <row r="54" spans="1:12" x14ac:dyDescent="0.35">
      <c r="C54" s="1" t="str">
        <f>"4055"</f>
        <v>4055</v>
      </c>
      <c r="F54" s="1" t="str">
        <f>"Edsbacka marknad"</f>
        <v>Edsbacka marknad</v>
      </c>
      <c r="G54" s="2">
        <v>-700</v>
      </c>
      <c r="H54" s="2">
        <v>-1870</v>
      </c>
      <c r="I54" s="6">
        <v>-18269</v>
      </c>
      <c r="J54" s="6">
        <v>-20000</v>
      </c>
      <c r="L54" s="7">
        <v>-25000</v>
      </c>
    </row>
    <row r="55" spans="1:12" x14ac:dyDescent="0.35">
      <c r="C55" s="1" t="str">
        <f>"4060"</f>
        <v>4060</v>
      </c>
      <c r="F55" s="1" t="str">
        <f>"Övriga arrangemang TFK"</f>
        <v>Övriga arrangemang TFK</v>
      </c>
      <c r="G55" s="2">
        <v>-33791</v>
      </c>
      <c r="H55" s="2">
        <v>-17853</v>
      </c>
      <c r="I55" s="6">
        <v>-45134.59</v>
      </c>
      <c r="J55" s="6">
        <v>-30000</v>
      </c>
      <c r="L55" s="7">
        <v>-45000</v>
      </c>
    </row>
    <row r="56" spans="1:12" x14ac:dyDescent="0.35">
      <c r="C56" s="1" t="str">
        <f>"4062"</f>
        <v>4062</v>
      </c>
      <c r="F56" s="1" t="str">
        <f>"Klara Milen Vinn Bilen"</f>
        <v>Klara Milen Vinn Bilen</v>
      </c>
      <c r="G56" s="2">
        <v>-3000</v>
      </c>
      <c r="H56" s="2">
        <v>0</v>
      </c>
      <c r="I56" s="6"/>
      <c r="J56" s="6">
        <v>0</v>
      </c>
      <c r="L56" s="7">
        <v>0</v>
      </c>
    </row>
    <row r="57" spans="1:12" x14ac:dyDescent="0.35">
      <c r="C57" s="1" t="str">
        <f>"4063"</f>
        <v>4063</v>
      </c>
      <c r="F57" s="1" t="s">
        <v>12</v>
      </c>
      <c r="G57" s="2">
        <v>-15000</v>
      </c>
      <c r="H57" s="2">
        <v>0</v>
      </c>
      <c r="I57" s="6">
        <v>-89599.73</v>
      </c>
      <c r="J57" s="6">
        <v>-30000</v>
      </c>
      <c r="L57" s="7">
        <v>0</v>
      </c>
    </row>
    <row r="58" spans="1:12" x14ac:dyDescent="0.35">
      <c r="C58" s="1" t="str">
        <f>"4070"</f>
        <v>4070</v>
      </c>
      <c r="F58" s="1" t="str">
        <f>"Sollentuna GP"</f>
        <v>Sollentuna GP</v>
      </c>
      <c r="G58" s="2">
        <v>17371</v>
      </c>
      <c r="H58" s="2">
        <v>-27348.03</v>
      </c>
      <c r="I58" s="6">
        <v>-64276.7</v>
      </c>
      <c r="L58" s="7">
        <v>0</v>
      </c>
    </row>
    <row r="59" spans="1:12" x14ac:dyDescent="0.35">
      <c r="C59" s="1" t="str">
        <f>"4130"</f>
        <v>4130</v>
      </c>
      <c r="F59" s="1" t="str">
        <f>"Tävlingsdräkt/overall TFK"</f>
        <v>Tävlingsdräkt/overall TFK</v>
      </c>
      <c r="G59" s="2">
        <v>0</v>
      </c>
      <c r="H59" s="2">
        <v>-6085</v>
      </c>
      <c r="I59" s="6">
        <v>-18395</v>
      </c>
      <c r="J59" s="6">
        <v>-15000</v>
      </c>
      <c r="L59" s="7">
        <v>-3000</v>
      </c>
    </row>
    <row r="60" spans="1:12" x14ac:dyDescent="0.35">
      <c r="C60" s="1" t="str">
        <f>"4150"</f>
        <v>4150</v>
      </c>
      <c r="F60" s="1" t="str">
        <f>"Försäljning"</f>
        <v>Försäljning</v>
      </c>
      <c r="G60" s="2">
        <v>-4278</v>
      </c>
      <c r="H60" s="2">
        <v>-7831</v>
      </c>
      <c r="I60" s="6">
        <v>-80836.06</v>
      </c>
      <c r="J60" s="6">
        <v>-45000</v>
      </c>
      <c r="L60" s="33">
        <v>-75000</v>
      </c>
    </row>
    <row r="61" spans="1:12" x14ac:dyDescent="0.35">
      <c r="C61" s="1" t="str">
        <f>"4310"</f>
        <v>4310</v>
      </c>
      <c r="F61" s="1" t="str">
        <f>"Sponsorer"</f>
        <v>Sponsorer</v>
      </c>
      <c r="G61" s="2">
        <v>0</v>
      </c>
      <c r="I61" s="6"/>
      <c r="L61" s="7">
        <v>0</v>
      </c>
    </row>
    <row r="62" spans="1:12" x14ac:dyDescent="0.35">
      <c r="C62" s="1" t="str">
        <f>"4400"</f>
        <v>4400</v>
      </c>
      <c r="F62" s="1" t="s">
        <v>3</v>
      </c>
      <c r="G62" s="2">
        <v>-37832</v>
      </c>
      <c r="H62" s="2">
        <v>-17816</v>
      </c>
      <c r="I62" s="6">
        <v>-80733</v>
      </c>
      <c r="J62" s="6">
        <v>-40000</v>
      </c>
      <c r="L62" s="33">
        <v>-65000</v>
      </c>
    </row>
    <row r="63" spans="1:12" x14ac:dyDescent="0.35">
      <c r="C63" s="1" t="str">
        <f>"4401"</f>
        <v>4401</v>
      </c>
      <c r="F63" s="1" t="s">
        <v>29</v>
      </c>
      <c r="G63" s="2">
        <v>-50894</v>
      </c>
      <c r="H63" s="2">
        <v>0</v>
      </c>
      <c r="I63" s="6">
        <v>-111447.55</v>
      </c>
      <c r="J63" s="6">
        <v>-75000</v>
      </c>
      <c r="L63" s="33">
        <v>-60000</v>
      </c>
    </row>
    <row r="64" spans="1:12" x14ac:dyDescent="0.35">
      <c r="C64" s="1" t="str">
        <f>"4402"</f>
        <v>4402</v>
      </c>
      <c r="F64" s="1" t="s">
        <v>30</v>
      </c>
      <c r="G64" s="2">
        <v>-20228</v>
      </c>
      <c r="H64" s="2">
        <v>0</v>
      </c>
      <c r="I64" s="6">
        <v>-72381.45</v>
      </c>
      <c r="J64" s="6">
        <v>-85000</v>
      </c>
      <c r="L64" s="7">
        <v>-10000</v>
      </c>
    </row>
    <row r="65" spans="3:12" x14ac:dyDescent="0.35">
      <c r="C65" s="1" t="str">
        <f>"4403"</f>
        <v>4403</v>
      </c>
      <c r="F65" s="1" t="s">
        <v>31</v>
      </c>
      <c r="G65" s="2">
        <v>0</v>
      </c>
      <c r="I65" s="6">
        <v>-47688.2</v>
      </c>
      <c r="J65" s="6">
        <v>-35000</v>
      </c>
      <c r="L65" s="7">
        <v>-20000</v>
      </c>
    </row>
    <row r="66" spans="3:12" x14ac:dyDescent="0.35">
      <c r="C66" s="1" t="str">
        <f>"4410"</f>
        <v>4410</v>
      </c>
      <c r="F66" s="1" t="s">
        <v>32</v>
      </c>
      <c r="G66" s="2">
        <v>-474</v>
      </c>
      <c r="H66" s="2">
        <v>-57170.400000000001</v>
      </c>
      <c r="I66" s="6">
        <v>-49484</v>
      </c>
      <c r="J66" s="6">
        <v>-35000</v>
      </c>
      <c r="L66" s="7">
        <v>-35000</v>
      </c>
    </row>
    <row r="67" spans="3:12" x14ac:dyDescent="0.35">
      <c r="C67" s="1" t="str">
        <f>"4411"</f>
        <v>4411</v>
      </c>
      <c r="F67" s="1" t="s">
        <v>33</v>
      </c>
      <c r="G67" s="2">
        <v>-25358</v>
      </c>
      <c r="H67" s="2">
        <v>-84707</v>
      </c>
      <c r="I67" s="6"/>
      <c r="J67" s="6">
        <v>-2000</v>
      </c>
      <c r="L67" s="7">
        <v>-60000</v>
      </c>
    </row>
    <row r="68" spans="3:12" x14ac:dyDescent="0.35">
      <c r="C68" s="1" t="str">
        <f>"4412"</f>
        <v>4412</v>
      </c>
      <c r="F68" s="1" t="s">
        <v>34</v>
      </c>
      <c r="G68" s="2">
        <v>-11447</v>
      </c>
      <c r="H68" s="2">
        <v>-6708.3</v>
      </c>
      <c r="I68" s="6">
        <v>-10156.549999999999</v>
      </c>
      <c r="J68" s="6">
        <v>-5000</v>
      </c>
      <c r="L68" s="7">
        <v>0</v>
      </c>
    </row>
    <row r="69" spans="3:12" x14ac:dyDescent="0.35">
      <c r="C69" s="1" t="str">
        <f>"4413"</f>
        <v>4413</v>
      </c>
      <c r="F69" s="1" t="s">
        <v>35</v>
      </c>
      <c r="G69" s="2">
        <v>-23199</v>
      </c>
      <c r="H69" s="2">
        <v>-35631.9</v>
      </c>
      <c r="I69" s="6">
        <v>-6399.75</v>
      </c>
      <c r="J69" s="6">
        <v>-5000</v>
      </c>
      <c r="L69" s="7">
        <v>-20000</v>
      </c>
    </row>
    <row r="70" spans="3:12" x14ac:dyDescent="0.35">
      <c r="C70" s="1" t="str">
        <f>"4420"</f>
        <v>4420</v>
      </c>
      <c r="F70" s="1" t="s">
        <v>36</v>
      </c>
      <c r="G70" s="2">
        <v>-1648</v>
      </c>
      <c r="H70" s="2">
        <v>-24653</v>
      </c>
      <c r="I70" s="6">
        <v>0</v>
      </c>
      <c r="J70" s="6">
        <v>0</v>
      </c>
      <c r="L70" s="7">
        <v>-15000</v>
      </c>
    </row>
    <row r="71" spans="3:12" x14ac:dyDescent="0.35">
      <c r="C71" s="1" t="str">
        <f>"4440"</f>
        <v>4440</v>
      </c>
      <c r="F71" s="1" t="s">
        <v>4</v>
      </c>
      <c r="G71" s="2">
        <v>-12878</v>
      </c>
      <c r="H71" s="2">
        <v>-5700</v>
      </c>
      <c r="I71" s="6">
        <v>-81567.09</v>
      </c>
      <c r="J71" s="6">
        <v>-35000</v>
      </c>
      <c r="L71" s="7">
        <v>-5000</v>
      </c>
    </row>
    <row r="72" spans="3:12" x14ac:dyDescent="0.35">
      <c r="C72" s="1" t="str">
        <f>"4450"</f>
        <v>4450</v>
      </c>
      <c r="F72" s="1" t="str">
        <f>"Seriematcher"</f>
        <v>Seriematcher</v>
      </c>
      <c r="G72" s="2">
        <v>0</v>
      </c>
      <c r="H72" s="2">
        <v>0</v>
      </c>
      <c r="I72" s="6">
        <v>-26372.5</v>
      </c>
      <c r="J72" s="6">
        <v>-5000</v>
      </c>
      <c r="L72" s="7">
        <v>-20000</v>
      </c>
    </row>
    <row r="73" spans="3:12" x14ac:dyDescent="0.35">
      <c r="C73" s="1" t="str">
        <f>"4451"</f>
        <v>4451</v>
      </c>
      <c r="F73" s="1" t="s">
        <v>37</v>
      </c>
      <c r="G73" s="2">
        <v>0</v>
      </c>
      <c r="H73" s="2">
        <v>-6323</v>
      </c>
      <c r="I73" s="6">
        <v>-960.27</v>
      </c>
      <c r="J73" s="6">
        <v>-2000</v>
      </c>
      <c r="L73" s="35">
        <v>-25000</v>
      </c>
    </row>
    <row r="74" spans="3:12" x14ac:dyDescent="0.35">
      <c r="C74" s="1" t="str">
        <f>"4500"</f>
        <v>4500</v>
      </c>
      <c r="F74" s="1" t="str">
        <f>"Startavgift SM"</f>
        <v>Startavgift SM</v>
      </c>
      <c r="G74" s="2">
        <v>-37110</v>
      </c>
      <c r="H74" s="2">
        <v>-41150</v>
      </c>
      <c r="I74" s="6">
        <v>-94441.16</v>
      </c>
      <c r="J74" s="6">
        <v>-45000</v>
      </c>
      <c r="L74" s="7">
        <v>-85000</v>
      </c>
    </row>
    <row r="75" spans="3:12" x14ac:dyDescent="0.35">
      <c r="C75" s="1" t="str">
        <f>"4510"</f>
        <v>4510</v>
      </c>
      <c r="F75" s="1" t="str">
        <f>"Startavgift DM"</f>
        <v>Startavgift DM</v>
      </c>
      <c r="G75" s="2">
        <v>-21440</v>
      </c>
      <c r="H75" s="2">
        <v>-22030</v>
      </c>
      <c r="I75" s="6">
        <v>-20745</v>
      </c>
      <c r="J75" s="6">
        <v>-35000</v>
      </c>
      <c r="L75" s="7">
        <v>-30000</v>
      </c>
    </row>
    <row r="76" spans="3:12" x14ac:dyDescent="0.35">
      <c r="C76" s="1" t="str">
        <f>"4520"</f>
        <v>4520</v>
      </c>
      <c r="F76" s="1" t="str">
        <f>"Startavgift arena"</f>
        <v>Startavgift arena</v>
      </c>
      <c r="G76" s="2">
        <v>-121660</v>
      </c>
      <c r="H76" s="2">
        <f>-120573-1790</f>
        <v>-122363</v>
      </c>
      <c r="I76" s="6">
        <v>-327698.56</v>
      </c>
      <c r="J76" s="6">
        <v>-335000</v>
      </c>
      <c r="L76" s="33">
        <v>-375000</v>
      </c>
    </row>
    <row r="77" spans="3:12" x14ac:dyDescent="0.35">
      <c r="C77" s="1" t="str">
        <f>"4530"</f>
        <v>4530</v>
      </c>
      <c r="F77" s="1" t="str">
        <f>"Startavgift terräng/gatulopp"</f>
        <v>Startavgift terräng/gatulopp</v>
      </c>
      <c r="G77" s="2">
        <v>0</v>
      </c>
      <c r="H77" s="2">
        <v>-350</v>
      </c>
      <c r="I77" s="6">
        <v>-3600</v>
      </c>
      <c r="J77" s="6">
        <v>-3000</v>
      </c>
      <c r="L77" s="7">
        <v>-3500</v>
      </c>
    </row>
    <row r="78" spans="3:12" x14ac:dyDescent="0.35">
      <c r="C78" s="1" t="str">
        <f>"4600"</f>
        <v>4600</v>
      </c>
      <c r="F78" s="1" t="str">
        <f>"Tävlingsresor junior/senior"</f>
        <v>Tävlingsresor junior/senior</v>
      </c>
      <c r="G78" s="2">
        <v>-449</v>
      </c>
      <c r="H78" s="2">
        <v>-10980</v>
      </c>
      <c r="I78" s="6">
        <v>-3493.5</v>
      </c>
      <c r="J78" s="6">
        <v>-30000</v>
      </c>
      <c r="L78" s="7">
        <v>-25000</v>
      </c>
    </row>
    <row r="79" spans="3:12" x14ac:dyDescent="0.35">
      <c r="C79" s="1" t="str">
        <f>"4620"</f>
        <v>4620</v>
      </c>
      <c r="F79" s="1" t="str">
        <f>"Läger/klädstöd"</f>
        <v>Läger/klädstöd</v>
      </c>
      <c r="G79" s="2">
        <v>0</v>
      </c>
      <c r="H79" s="2">
        <v>0</v>
      </c>
      <c r="I79" s="6">
        <v>-295</v>
      </c>
      <c r="J79" s="6">
        <v>0</v>
      </c>
      <c r="L79" s="7">
        <v>0</v>
      </c>
    </row>
    <row r="80" spans="3:12" x14ac:dyDescent="0.35">
      <c r="C80" s="1" t="str">
        <f>"4621"</f>
        <v>4621</v>
      </c>
      <c r="F80" s="1" t="str">
        <f>"Bidragsaktiva"</f>
        <v>Bidragsaktiva</v>
      </c>
      <c r="G80" s="2">
        <v>-668616</v>
      </c>
      <c r="H80" s="2">
        <f>-807459-750-750+12500</f>
        <v>-796459</v>
      </c>
      <c r="I80" s="6">
        <v>-898769.35</v>
      </c>
      <c r="J80" s="6">
        <v>-1000000</v>
      </c>
      <c r="L80" s="36">
        <v>-1100000</v>
      </c>
    </row>
    <row r="81" spans="3:12" x14ac:dyDescent="0.35">
      <c r="C81" s="1" t="s">
        <v>5</v>
      </c>
      <c r="F81" s="1" t="str">
        <f>"Korrigeringskonto arvode till lön"</f>
        <v>Korrigeringskonto arvode till lön</v>
      </c>
      <c r="G81" s="2">
        <v>0</v>
      </c>
      <c r="I81" s="6"/>
    </row>
    <row r="82" spans="3:12" x14ac:dyDescent="0.35">
      <c r="C82" s="1" t="str">
        <f>"4640"</f>
        <v>4640</v>
      </c>
      <c r="F82" s="1" t="str">
        <f>"Friskvård"</f>
        <v>Friskvård</v>
      </c>
      <c r="G82" s="2">
        <v>-28298</v>
      </c>
      <c r="H82" s="2">
        <f>-29227-1755</f>
        <v>-30982</v>
      </c>
      <c r="I82" s="6">
        <v>-37142.230000000003</v>
      </c>
      <c r="J82" s="6">
        <v>-50000</v>
      </c>
      <c r="L82" s="7">
        <v>-45000</v>
      </c>
    </row>
    <row r="83" spans="3:12" x14ac:dyDescent="0.35">
      <c r="C83" s="1" t="str">
        <f>"4650"</f>
        <v>4650</v>
      </c>
      <c r="F83" s="1" t="str">
        <f>"Hyror"</f>
        <v>Hyror</v>
      </c>
      <c r="G83" s="2">
        <v>-11775</v>
      </c>
      <c r="H83" s="2">
        <f>-135195-560</f>
        <v>-135755</v>
      </c>
      <c r="I83" s="6">
        <v>-341244.12</v>
      </c>
      <c r="J83" s="6">
        <v>-300000</v>
      </c>
      <c r="L83" s="7">
        <v>-350000</v>
      </c>
    </row>
    <row r="84" spans="3:12" x14ac:dyDescent="0.35">
      <c r="C84" s="1" t="str">
        <f>"4660"</f>
        <v>4660</v>
      </c>
      <c r="F84" s="1" t="str">
        <f>"Material/redskap/styrkerum"</f>
        <v>Material/redskap/styrkerum</v>
      </c>
      <c r="G84" s="2">
        <v>-71343</v>
      </c>
      <c r="H84" s="2">
        <f>-135420+36788+29311</f>
        <v>-69321</v>
      </c>
      <c r="I84" s="6">
        <v>-53487.9</v>
      </c>
      <c r="J84" s="6">
        <v>-30000</v>
      </c>
      <c r="L84" s="7">
        <v>-45000</v>
      </c>
    </row>
    <row r="85" spans="3:12" x14ac:dyDescent="0.35">
      <c r="C85" s="1" t="str">
        <f>"4670"</f>
        <v>4670</v>
      </c>
      <c r="F85" s="1" t="str">
        <f>"Senior"</f>
        <v>Senior</v>
      </c>
      <c r="G85" s="2">
        <v>-196997</v>
      </c>
      <c r="H85" s="2">
        <v>-362161</v>
      </c>
      <c r="I85" s="6">
        <v>-617307.6</v>
      </c>
      <c r="J85" s="6">
        <v>-575000</v>
      </c>
      <c r="L85" s="33">
        <v>-700000</v>
      </c>
    </row>
    <row r="86" spans="3:12" x14ac:dyDescent="0.35">
      <c r="C86" s="1" t="str">
        <f>"4671"</f>
        <v>4671</v>
      </c>
      <c r="F86" s="1" t="str">
        <f>"Junior-ungdom"</f>
        <v>Junior-ungdom</v>
      </c>
      <c r="G86" s="2">
        <v>-178743</v>
      </c>
      <c r="H86" s="2">
        <f>-237663-85605</f>
        <v>-323268</v>
      </c>
      <c r="I86" s="6">
        <v>0</v>
      </c>
      <c r="J86" s="6">
        <v>0</v>
      </c>
      <c r="L86" s="7">
        <v>0</v>
      </c>
    </row>
    <row r="87" spans="3:12" x14ac:dyDescent="0.35">
      <c r="C87" s="1" t="str">
        <f>"4672"</f>
        <v>4672</v>
      </c>
      <c r="F87" s="1" t="str">
        <f>"Medeldistans"</f>
        <v>Medeldistans</v>
      </c>
      <c r="G87" s="2">
        <v>0</v>
      </c>
      <c r="I87" s="6">
        <v>-140.35</v>
      </c>
      <c r="J87" s="6">
        <v>0</v>
      </c>
      <c r="L87" s="7">
        <v>0</v>
      </c>
    </row>
    <row r="88" spans="3:12" x14ac:dyDescent="0.35">
      <c r="C88" s="1" t="str">
        <f>"4700"</f>
        <v>4700</v>
      </c>
      <c r="F88" s="1" t="str">
        <f>"Läger/tävlingsresor"</f>
        <v>Läger/tävlingsresor</v>
      </c>
      <c r="G88" s="2">
        <v>-361992</v>
      </c>
      <c r="H88" s="2">
        <v>-162201</v>
      </c>
      <c r="I88" s="6">
        <v>-373332.54</v>
      </c>
      <c r="J88" s="6">
        <v>-250000</v>
      </c>
      <c r="L88" s="7">
        <v>-250000</v>
      </c>
    </row>
    <row r="89" spans="3:12" x14ac:dyDescent="0.35">
      <c r="C89" s="1" t="str">
        <f>"4720"</f>
        <v>4720</v>
      </c>
      <c r="F89" s="1" t="str">
        <f>"Gruppmedel"</f>
        <v>Gruppmedel</v>
      </c>
      <c r="G89" s="2">
        <v>3443</v>
      </c>
      <c r="H89" s="2">
        <v>-6736</v>
      </c>
      <c r="I89" s="6">
        <v>-2101.5300000000002</v>
      </c>
      <c r="J89" s="6">
        <v>-8000</v>
      </c>
      <c r="L89" s="7">
        <v>-5000</v>
      </c>
    </row>
    <row r="90" spans="3:12" x14ac:dyDescent="0.35">
      <c r="C90" s="1" t="str">
        <f>"4770"</f>
        <v>4770</v>
      </c>
      <c r="F90" s="1" t="str">
        <f>"Läger tränare/ledare"</f>
        <v>Läger tränare/ledare</v>
      </c>
      <c r="G90" s="2">
        <v>-13901</v>
      </c>
      <c r="H90" s="2">
        <v>0</v>
      </c>
      <c r="I90" s="6">
        <v>-62313.18</v>
      </c>
      <c r="J90" s="6">
        <v>-40000</v>
      </c>
      <c r="L90" s="7">
        <v>-50000</v>
      </c>
    </row>
    <row r="91" spans="3:12" x14ac:dyDescent="0.35">
      <c r="C91" s="1" t="str">
        <f>"4800"</f>
        <v>4800</v>
      </c>
      <c r="F91" s="1" t="str">
        <f>"Utbildning tränare/aktiva"</f>
        <v>Utbildning tränare/aktiva</v>
      </c>
      <c r="G91" s="2">
        <v>-35903</v>
      </c>
      <c r="H91" s="2">
        <v>-68753</v>
      </c>
      <c r="I91" s="7">
        <v>-96352.26</v>
      </c>
      <c r="J91" s="6">
        <v>-40000</v>
      </c>
      <c r="L91" s="7">
        <v>-75000</v>
      </c>
    </row>
    <row r="92" spans="3:12" x14ac:dyDescent="0.35">
      <c r="C92" s="1" t="str">
        <f>"4805"</f>
        <v>4805</v>
      </c>
      <c r="F92" s="1" t="str">
        <f>"Utbildning funktionärer"</f>
        <v>Utbildning funktionärer</v>
      </c>
      <c r="G92" s="2">
        <v>-6325</v>
      </c>
      <c r="H92" s="2">
        <v>0</v>
      </c>
      <c r="I92" s="6">
        <v>-716.4</v>
      </c>
      <c r="J92" s="6">
        <v>-10000</v>
      </c>
      <c r="L92" s="7">
        <v>-10000</v>
      </c>
    </row>
    <row r="93" spans="3:12" x14ac:dyDescent="0.35">
      <c r="C93" s="1" t="str">
        <f>"4820"</f>
        <v>4820</v>
      </c>
      <c r="F93" s="1" t="str">
        <f>"Årsmöte"</f>
        <v>Årsmöte</v>
      </c>
      <c r="G93" s="2">
        <v>-9334</v>
      </c>
      <c r="H93" s="2">
        <v>-9565</v>
      </c>
      <c r="I93" s="6">
        <v>-15106.2</v>
      </c>
      <c r="J93" s="6">
        <v>-10000</v>
      </c>
      <c r="L93" s="7">
        <v>-15000</v>
      </c>
    </row>
    <row r="94" spans="3:12" x14ac:dyDescent="0.35">
      <c r="C94" s="1" t="str">
        <f>"4825"</f>
        <v>4825</v>
      </c>
      <c r="F94" s="1" t="str">
        <f>"Medaljer/pokaler"</f>
        <v>Medaljer/pokaler</v>
      </c>
      <c r="G94" s="2">
        <v>-5170</v>
      </c>
      <c r="H94" s="2">
        <v>-5141</v>
      </c>
      <c r="I94" s="6">
        <v>-4805</v>
      </c>
      <c r="J94" s="6">
        <v>-5000</v>
      </c>
      <c r="L94" s="7">
        <v>-5000</v>
      </c>
    </row>
    <row r="95" spans="3:12" x14ac:dyDescent="0.35">
      <c r="C95" s="1" t="str">
        <f>"4850"</f>
        <v>4850</v>
      </c>
      <c r="F95" s="1" t="str">
        <f>"Medlemsinformation"</f>
        <v>Medlemsinformation</v>
      </c>
      <c r="G95" s="2">
        <v>-4375</v>
      </c>
      <c r="I95" s="6">
        <v>-3325</v>
      </c>
      <c r="J95" s="6">
        <v>0</v>
      </c>
      <c r="L95" s="7">
        <v>0</v>
      </c>
    </row>
    <row r="96" spans="3:12" x14ac:dyDescent="0.35">
      <c r="C96" s="1" t="str">
        <f>"4870"</f>
        <v>4870</v>
      </c>
      <c r="F96" s="1" t="str">
        <f>"Klubbhus/målhus"</f>
        <v>Klubbhus/målhus</v>
      </c>
      <c r="G96" s="2">
        <v>-6400</v>
      </c>
      <c r="H96" s="2">
        <v>-1467.54</v>
      </c>
      <c r="I96" s="6">
        <v>-15854.18</v>
      </c>
      <c r="J96" s="6">
        <v>-5000</v>
      </c>
      <c r="L96" s="7">
        <v>-5000</v>
      </c>
    </row>
    <row r="97" spans="1:12" x14ac:dyDescent="0.35">
      <c r="A97" s="5"/>
      <c r="B97" s="5"/>
      <c r="C97" s="5"/>
      <c r="D97" s="5"/>
      <c r="E97" s="5"/>
      <c r="F97" s="5"/>
      <c r="G97" s="9"/>
      <c r="H97" s="9"/>
      <c r="I97" s="14"/>
      <c r="J97" s="26"/>
      <c r="K97" s="26"/>
      <c r="L97" s="14"/>
    </row>
    <row r="98" spans="1:12" x14ac:dyDescent="0.35">
      <c r="C98" s="16" t="str">
        <f>"S:a Råvaror och förnödenheter mm"</f>
        <v>S:a Råvaror och förnödenheter mm</v>
      </c>
      <c r="D98" s="4"/>
      <c r="E98" s="4"/>
      <c r="F98" s="4"/>
      <c r="G98" s="3">
        <f>SUM(G50:G97)+2</f>
        <v>-2359076</v>
      </c>
      <c r="H98" s="3">
        <f>SUM(H50:H97)-1</f>
        <v>-2873826.43</v>
      </c>
      <c r="I98" s="3">
        <f>SUM(I50:I97)-1</f>
        <v>-4230643.4799999995</v>
      </c>
      <c r="J98" s="7">
        <f>SUM(J50:J97)</f>
        <v>-3710000</v>
      </c>
      <c r="K98" s="7"/>
      <c r="L98" s="7">
        <f t="shared" ref="L98" si="3">SUM(L50:L97)</f>
        <v>-4136500</v>
      </c>
    </row>
    <row r="99" spans="1:12" x14ac:dyDescent="0.35">
      <c r="C99" s="4"/>
      <c r="D99" s="4"/>
      <c r="E99" s="4"/>
      <c r="F99" s="4"/>
      <c r="G99" s="3"/>
      <c r="H99" s="3"/>
      <c r="K99" s="6"/>
      <c r="L99" s="6"/>
    </row>
    <row r="100" spans="1:12" x14ac:dyDescent="0.35">
      <c r="A100" s="5"/>
      <c r="B100" s="5"/>
      <c r="C100" s="19"/>
      <c r="D100" s="19"/>
      <c r="E100" s="19"/>
      <c r="F100" s="19"/>
      <c r="G100" s="15"/>
      <c r="H100" s="15"/>
      <c r="I100" s="14"/>
      <c r="J100" s="26"/>
      <c r="K100" s="26"/>
      <c r="L100" s="26"/>
    </row>
    <row r="101" spans="1:12" x14ac:dyDescent="0.35">
      <c r="A101" s="16" t="str">
        <f>"Bruttovinst"</f>
        <v>Bruttovinst</v>
      </c>
      <c r="C101" s="4"/>
      <c r="D101" s="4"/>
      <c r="E101" s="4"/>
      <c r="F101" s="4"/>
      <c r="G101" s="3">
        <f>+G46+G98</f>
        <v>3549565</v>
      </c>
      <c r="H101" s="3">
        <f>+H46+H98</f>
        <v>2382867.23</v>
      </c>
      <c r="I101" s="3">
        <f t="shared" ref="I101:J101" si="4">+I46+I98</f>
        <v>2330013.5300000003</v>
      </c>
      <c r="J101" s="3">
        <f t="shared" si="4"/>
        <v>2362000</v>
      </c>
      <c r="K101" s="3"/>
      <c r="L101" s="3">
        <f>+L46+L98</f>
        <v>2941100</v>
      </c>
    </row>
    <row r="103" spans="1:12" x14ac:dyDescent="0.35">
      <c r="B103" s="1" t="str">
        <f>"Övriga externa kostnader"</f>
        <v>Övriga externa kostnader</v>
      </c>
    </row>
    <row r="104" spans="1:12" x14ac:dyDescent="0.35">
      <c r="C104" s="1" t="str">
        <f>"5410"</f>
        <v>5410</v>
      </c>
      <c r="F104" s="1" t="str">
        <f>"Datakostnader"</f>
        <v>Datakostnader</v>
      </c>
      <c r="G104" s="2">
        <v>-34420</v>
      </c>
      <c r="H104" s="2">
        <v>-40548</v>
      </c>
      <c r="I104" s="6">
        <v>-9</v>
      </c>
      <c r="J104" s="6">
        <v>-15000</v>
      </c>
      <c r="L104" s="7">
        <v>-15000</v>
      </c>
    </row>
    <row r="105" spans="1:12" x14ac:dyDescent="0.35">
      <c r="C105" s="1" t="str">
        <f>"5420"</f>
        <v>5420</v>
      </c>
      <c r="F105" s="1" t="str">
        <f>"Programvaror"</f>
        <v>Programvaror</v>
      </c>
      <c r="G105" s="2">
        <v>-51170</v>
      </c>
      <c r="H105" s="2">
        <v>-50304</v>
      </c>
      <c r="I105" s="6">
        <v>-48965.120000000003</v>
      </c>
      <c r="J105" s="6">
        <v>-30000</v>
      </c>
      <c r="L105" s="7">
        <v>-40000</v>
      </c>
    </row>
    <row r="106" spans="1:12" x14ac:dyDescent="0.35">
      <c r="C106" s="1" t="str">
        <f>"6070"</f>
        <v>6070</v>
      </c>
      <c r="F106" s="1" t="str">
        <f>"Uppvaktningar"</f>
        <v>Uppvaktningar</v>
      </c>
      <c r="G106" s="2">
        <v>-2548</v>
      </c>
      <c r="H106" s="2">
        <v>-21818</v>
      </c>
      <c r="I106" s="6">
        <v>-10870.45</v>
      </c>
      <c r="J106" s="6">
        <v>-2000</v>
      </c>
      <c r="L106" s="7">
        <v>-10000</v>
      </c>
    </row>
    <row r="107" spans="1:12" x14ac:dyDescent="0.35">
      <c r="C107" s="1" t="str">
        <f>"6071"</f>
        <v>6071</v>
      </c>
      <c r="F107" s="1" t="str">
        <f>"Representation"</f>
        <v>Representation</v>
      </c>
      <c r="G107" s="2">
        <v>-1000</v>
      </c>
      <c r="H107" s="2">
        <f>-3836-210</f>
        <v>-4046</v>
      </c>
      <c r="I107" s="6">
        <v>0</v>
      </c>
      <c r="J107" s="6">
        <v>-1000</v>
      </c>
      <c r="L107" s="7">
        <v>0</v>
      </c>
    </row>
    <row r="108" spans="1:12" x14ac:dyDescent="0.35">
      <c r="C108" s="1" t="str">
        <f>"6110"</f>
        <v>6110</v>
      </c>
      <c r="F108" s="1" t="str">
        <f>"Kontorsmateriel"</f>
        <v>Kontorsmateriel</v>
      </c>
      <c r="G108" s="2">
        <v>-19178</v>
      </c>
      <c r="H108" s="2">
        <v>-30808</v>
      </c>
      <c r="I108" s="6">
        <v>-26436.35</v>
      </c>
      <c r="J108" s="6">
        <v>-15000</v>
      </c>
      <c r="L108" s="7">
        <v>-25000</v>
      </c>
    </row>
    <row r="109" spans="1:12" x14ac:dyDescent="0.35">
      <c r="C109" s="1" t="str">
        <f>"6211"</f>
        <v>6211</v>
      </c>
      <c r="F109" s="1" t="str">
        <f>"Telefon"</f>
        <v>Telefon</v>
      </c>
      <c r="G109" s="2">
        <v>-48857</v>
      </c>
      <c r="H109" s="2">
        <v>-49117</v>
      </c>
      <c r="I109" s="6">
        <v>-49771</v>
      </c>
      <c r="J109" s="6">
        <v>-52000</v>
      </c>
      <c r="L109" s="7">
        <f>-50000-12000</f>
        <v>-62000</v>
      </c>
    </row>
    <row r="110" spans="1:12" x14ac:dyDescent="0.35">
      <c r="C110" s="1" t="str">
        <f>"6250"</f>
        <v>6250</v>
      </c>
      <c r="F110" s="1" t="str">
        <f>"Porto"</f>
        <v>Porto</v>
      </c>
      <c r="G110" s="2">
        <v>-2013</v>
      </c>
      <c r="H110" s="2">
        <v>-1256</v>
      </c>
      <c r="I110" s="6">
        <v>-3264.8</v>
      </c>
      <c r="J110" s="6">
        <v>-2000</v>
      </c>
      <c r="L110" s="7">
        <v>-3000</v>
      </c>
    </row>
    <row r="111" spans="1:12" x14ac:dyDescent="0.35">
      <c r="C111" s="1" t="str">
        <f>"6310"</f>
        <v>6310</v>
      </c>
      <c r="F111" s="1" t="str">
        <f>"Företagsförsäkringar"</f>
        <v>Företagsförsäkringar</v>
      </c>
      <c r="G111" s="2">
        <v>-14574</v>
      </c>
      <c r="H111" s="2">
        <v>-14915</v>
      </c>
      <c r="I111" s="6">
        <v>-17806</v>
      </c>
      <c r="J111" s="6">
        <v>-14500</v>
      </c>
      <c r="L111" s="7">
        <v>-18000</v>
      </c>
    </row>
    <row r="112" spans="1:12" x14ac:dyDescent="0.35">
      <c r="C112" s="1" t="str">
        <f>"6460"</f>
        <v>6460</v>
      </c>
      <c r="F112" s="1" t="str">
        <f>"Planering styrelsen"</f>
        <v>Planering styrelsen</v>
      </c>
      <c r="G112" s="2">
        <v>0</v>
      </c>
      <c r="H112" s="2">
        <v>-21897</v>
      </c>
      <c r="I112" s="6">
        <v>-15839</v>
      </c>
      <c r="J112" s="6">
        <v>-50000</v>
      </c>
      <c r="L112" s="3">
        <v>-20000</v>
      </c>
    </row>
    <row r="113" spans="1:12" x14ac:dyDescent="0.35">
      <c r="C113" s="1" t="str">
        <f>"6461"</f>
        <v>6461</v>
      </c>
      <c r="F113" s="1" t="str">
        <f>"Styrelsemöten"</f>
        <v>Styrelsemöten</v>
      </c>
      <c r="G113" s="2">
        <v>-2882</v>
      </c>
      <c r="H113" s="2">
        <v>-790</v>
      </c>
      <c r="I113" s="6">
        <v>-1016.18</v>
      </c>
      <c r="J113" s="6">
        <v>-2000</v>
      </c>
      <c r="L113" s="7">
        <v>-2000</v>
      </c>
    </row>
    <row r="114" spans="1:12" x14ac:dyDescent="0.35">
      <c r="C114" s="1" t="str">
        <f>"6462"</f>
        <v>6462</v>
      </c>
      <c r="F114" s="1" t="str">
        <f>"Planering IU"</f>
        <v>Planering IU</v>
      </c>
      <c r="G114" s="2">
        <v>-1514</v>
      </c>
      <c r="H114" s="2">
        <v>-1052</v>
      </c>
      <c r="I114" s="6">
        <v>-527.99</v>
      </c>
      <c r="J114" s="6">
        <v>-5000</v>
      </c>
      <c r="L114" s="7">
        <v>0</v>
      </c>
    </row>
    <row r="115" spans="1:12" x14ac:dyDescent="0.35">
      <c r="C115" s="1" t="str">
        <f>"6463"</f>
        <v>6463</v>
      </c>
      <c r="F115" s="1" t="str">
        <f>"Planering ARRU"</f>
        <v>Planering ARRU</v>
      </c>
      <c r="G115" s="2">
        <v>0</v>
      </c>
      <c r="H115" s="2">
        <v>-123.9</v>
      </c>
      <c r="I115" s="6">
        <v>-82</v>
      </c>
      <c r="J115" s="6">
        <v>-2000</v>
      </c>
      <c r="L115" s="33">
        <v>0</v>
      </c>
    </row>
    <row r="116" spans="1:12" x14ac:dyDescent="0.35">
      <c r="C116" s="1" t="str">
        <f>"6464"</f>
        <v>6464</v>
      </c>
      <c r="F116" s="1" t="str">
        <f>"Planering MU"</f>
        <v>Planering MU</v>
      </c>
      <c r="G116" s="2">
        <v>0</v>
      </c>
      <c r="H116" s="2">
        <v>0</v>
      </c>
      <c r="I116" s="6">
        <v>0</v>
      </c>
      <c r="J116" s="6">
        <v>-1000</v>
      </c>
      <c r="L116" s="33">
        <v>0</v>
      </c>
    </row>
    <row r="117" spans="1:12" x14ac:dyDescent="0.35">
      <c r="C117" s="1" t="str">
        <f>"6530"</f>
        <v>6530</v>
      </c>
      <c r="F117" s="1" t="str">
        <f>"Bokföring"</f>
        <v>Bokföring</v>
      </c>
      <c r="G117" s="2">
        <v>-78520</v>
      </c>
      <c r="H117" s="2">
        <f>-59729-8000</f>
        <v>-67729</v>
      </c>
      <c r="I117" s="6">
        <v>-80158</v>
      </c>
      <c r="J117" s="6">
        <v>-90000</v>
      </c>
      <c r="L117" s="7">
        <v>-80000</v>
      </c>
    </row>
    <row r="118" spans="1:12" x14ac:dyDescent="0.35">
      <c r="C118" s="1" t="str">
        <f>"6570"</f>
        <v>6570</v>
      </c>
      <c r="F118" s="1" t="str">
        <f>"Bankkostnader"</f>
        <v>Bankkostnader</v>
      </c>
      <c r="G118" s="2">
        <v>-16873</v>
      </c>
      <c r="H118" s="2">
        <f>-13140-1840</f>
        <v>-14980</v>
      </c>
      <c r="I118" s="6">
        <v>-11289.37</v>
      </c>
      <c r="J118" s="6">
        <v>-16000</v>
      </c>
      <c r="L118" s="7">
        <v>-15000</v>
      </c>
    </row>
    <row r="119" spans="1:12" x14ac:dyDescent="0.35">
      <c r="C119" s="1" t="s">
        <v>21</v>
      </c>
      <c r="F119" s="1" t="s">
        <v>22</v>
      </c>
      <c r="I119" s="6">
        <v>-7676</v>
      </c>
      <c r="L119" s="7">
        <v>-50000</v>
      </c>
    </row>
    <row r="120" spans="1:12" ht="14.25" customHeight="1" x14ac:dyDescent="0.35">
      <c r="C120" s="1" t="str">
        <f>"6970"</f>
        <v>6970</v>
      </c>
      <c r="F120" s="1" t="str">
        <f>"Böcker /Tidskrifter"</f>
        <v>Böcker /Tidskrifter</v>
      </c>
      <c r="G120" s="2">
        <v>-1067</v>
      </c>
      <c r="H120" s="2">
        <v>0</v>
      </c>
      <c r="I120" s="6">
        <v>-609</v>
      </c>
      <c r="J120" s="6">
        <v>0</v>
      </c>
      <c r="L120" s="7">
        <v>-1000</v>
      </c>
    </row>
    <row r="121" spans="1:12" x14ac:dyDescent="0.35">
      <c r="C121" s="1" t="str">
        <f>"6980"</f>
        <v>6980</v>
      </c>
      <c r="F121" s="1" t="str">
        <f>"Förbundsavgifter"</f>
        <v>Förbundsavgifter</v>
      </c>
      <c r="G121" s="2">
        <v>-26455</v>
      </c>
      <c r="H121" s="2">
        <v>-27850</v>
      </c>
      <c r="I121" s="6">
        <v>-46130</v>
      </c>
      <c r="J121" s="6">
        <v>-1000</v>
      </c>
      <c r="L121" s="7">
        <v>-45000</v>
      </c>
    </row>
    <row r="122" spans="1:12" x14ac:dyDescent="0.35">
      <c r="C122" s="1" t="str">
        <f>"6981"</f>
        <v>6981</v>
      </c>
      <c r="F122" s="1" t="str">
        <f>"Förbundsmöten"</f>
        <v>Förbundsmöten</v>
      </c>
      <c r="G122" s="2">
        <v>0</v>
      </c>
      <c r="H122" s="2">
        <v>0</v>
      </c>
      <c r="I122" s="6">
        <v>-1197</v>
      </c>
      <c r="J122" s="6">
        <v>-38000</v>
      </c>
      <c r="L122" s="7">
        <v>-5000</v>
      </c>
    </row>
    <row r="123" spans="1:12" x14ac:dyDescent="0.35">
      <c r="C123" s="1" t="s">
        <v>10</v>
      </c>
      <c r="F123" s="1" t="s">
        <v>11</v>
      </c>
      <c r="H123" s="2">
        <v>2260</v>
      </c>
      <c r="I123" s="6">
        <v>-500</v>
      </c>
      <c r="J123" s="6">
        <v>-3000</v>
      </c>
      <c r="L123" s="25">
        <v>-500</v>
      </c>
    </row>
    <row r="124" spans="1:12" x14ac:dyDescent="0.35">
      <c r="A124" s="5"/>
      <c r="B124" s="5"/>
      <c r="C124" s="5"/>
      <c r="D124" s="5"/>
      <c r="E124" s="5"/>
      <c r="F124" s="5"/>
      <c r="G124" s="9"/>
      <c r="H124" s="9"/>
      <c r="I124" s="14"/>
      <c r="J124" s="26"/>
      <c r="K124" s="26"/>
      <c r="L124" s="26"/>
    </row>
    <row r="125" spans="1:12" x14ac:dyDescent="0.35">
      <c r="C125" s="16" t="str">
        <f>"S:a Övriga externa kostnader"</f>
        <v>S:a Övriga externa kostnader</v>
      </c>
      <c r="D125" s="4"/>
      <c r="E125" s="4"/>
      <c r="F125" s="4"/>
      <c r="G125" s="3">
        <f>SUM(G104:G122)</f>
        <v>-301071</v>
      </c>
      <c r="H125" s="3">
        <f>SUM(H103:H124)</f>
        <v>-344973.9</v>
      </c>
      <c r="I125" s="3">
        <f>SUM(I103:I123)</f>
        <v>-322147.26</v>
      </c>
      <c r="J125" s="3">
        <f>SUM(J103:J124)</f>
        <v>-339500</v>
      </c>
      <c r="K125" s="3"/>
      <c r="L125" s="3">
        <f>SUM(L103:L124)</f>
        <v>-391500</v>
      </c>
    </row>
    <row r="127" spans="1:12" x14ac:dyDescent="0.35">
      <c r="B127" s="1" t="str">
        <f>"Personalkostnader"</f>
        <v>Personalkostnader</v>
      </c>
    </row>
    <row r="128" spans="1:12" x14ac:dyDescent="0.35">
      <c r="B128" s="1"/>
      <c r="C128">
        <v>7010</v>
      </c>
      <c r="F128" t="s">
        <v>6</v>
      </c>
      <c r="G128" s="2">
        <v>-4000</v>
      </c>
      <c r="I128" s="6"/>
    </row>
    <row r="129" spans="3:12" x14ac:dyDescent="0.35">
      <c r="C129" s="1" t="str">
        <f>"7090"</f>
        <v>7090</v>
      </c>
      <c r="F129" s="1" t="str">
        <f>"Justering av semesterlön samt sociala avg"</f>
        <v>Justering av semesterlön samt sociala avg</v>
      </c>
      <c r="G129" s="2">
        <v>-143600</v>
      </c>
      <c r="H129" s="6">
        <v>22763</v>
      </c>
      <c r="I129" s="6">
        <v>2147</v>
      </c>
    </row>
    <row r="130" spans="3:12" x14ac:dyDescent="0.35">
      <c r="C130" s="1" t="str">
        <f>"7210"</f>
        <v>7210</v>
      </c>
      <c r="F130" s="1" t="str">
        <f>"Löner"</f>
        <v>Löner</v>
      </c>
      <c r="G130" s="2">
        <v>-1293881</v>
      </c>
      <c r="H130" s="6">
        <v>-1294383</v>
      </c>
      <c r="I130" s="6">
        <v>-1631123</v>
      </c>
      <c r="J130" s="6">
        <v>-1594000</v>
      </c>
      <c r="L130" s="37">
        <f>-134200*1.03*12-40000</f>
        <v>-1698712</v>
      </c>
    </row>
    <row r="131" spans="3:12" x14ac:dyDescent="0.35">
      <c r="C131" s="1" t="s">
        <v>8</v>
      </c>
      <c r="F131" s="1" t="s">
        <v>9</v>
      </c>
      <c r="I131" s="6">
        <v>-852.5</v>
      </c>
      <c r="J131" s="6">
        <v>0</v>
      </c>
      <c r="L131" s="37"/>
    </row>
    <row r="132" spans="3:12" x14ac:dyDescent="0.35">
      <c r="C132" s="1" t="str">
        <f>"7330"</f>
        <v>7330</v>
      </c>
      <c r="F132" s="1" t="str">
        <f>"Parkeringsavgifter"</f>
        <v>Parkeringsavgifter</v>
      </c>
      <c r="G132" s="2">
        <v>-227</v>
      </c>
      <c r="H132" s="6">
        <v>-678</v>
      </c>
      <c r="I132" s="6"/>
      <c r="J132" s="6">
        <v>-45000</v>
      </c>
      <c r="L132" s="7">
        <v>-1000</v>
      </c>
    </row>
    <row r="133" spans="3:12" x14ac:dyDescent="0.35">
      <c r="C133" s="1" t="str">
        <f>"7331"</f>
        <v>7331</v>
      </c>
      <c r="F133" s="1" t="str">
        <f>"Bilersättning skattefri"</f>
        <v>Bilersättning skattefri</v>
      </c>
      <c r="G133" s="2">
        <v>-21613</v>
      </c>
      <c r="H133" s="6">
        <v>-21075</v>
      </c>
      <c r="I133" s="6">
        <v>-26141.55</v>
      </c>
      <c r="J133" s="6">
        <v>-95640</v>
      </c>
      <c r="L133" s="7">
        <v>-45000</v>
      </c>
    </row>
    <row r="134" spans="3:12" x14ac:dyDescent="0.35">
      <c r="C134" s="1" t="s">
        <v>40</v>
      </c>
      <c r="F134" s="1" t="s">
        <v>41</v>
      </c>
      <c r="H134" s="6"/>
      <c r="I134" s="6">
        <v>-1170667</v>
      </c>
      <c r="L134" s="7"/>
    </row>
    <row r="135" spans="3:12" x14ac:dyDescent="0.35">
      <c r="C135" s="1" t="str">
        <f>"7412"</f>
        <v>7412</v>
      </c>
      <c r="F135" s="1" t="str">
        <f>"Pensionsavgifter"</f>
        <v>Pensionsavgifter</v>
      </c>
      <c r="G135" s="2">
        <v>-79533</v>
      </c>
      <c r="H135" s="6">
        <v>-82036</v>
      </c>
      <c r="I135" s="6">
        <v>-107702.53</v>
      </c>
      <c r="J135" s="6">
        <v>-500835</v>
      </c>
      <c r="L135" s="7">
        <f>+L130*0.06</f>
        <v>-101922.72</v>
      </c>
    </row>
    <row r="136" spans="3:12" x14ac:dyDescent="0.35">
      <c r="C136" s="1" t="s">
        <v>38</v>
      </c>
      <c r="F136" s="1" t="s">
        <v>39</v>
      </c>
      <c r="H136" s="6"/>
      <c r="I136" s="6">
        <v>-909321</v>
      </c>
      <c r="L136" s="7"/>
    </row>
    <row r="137" spans="3:12" x14ac:dyDescent="0.35">
      <c r="C137" s="1" t="s">
        <v>45</v>
      </c>
      <c r="F137" s="1" t="s">
        <v>44</v>
      </c>
      <c r="H137" s="6"/>
      <c r="I137" s="6">
        <v>-512488</v>
      </c>
      <c r="L137" s="7">
        <v>-533735</v>
      </c>
    </row>
    <row r="138" spans="3:12" x14ac:dyDescent="0.35">
      <c r="C138" s="1" t="str">
        <f>"7511"</f>
        <v>7511</v>
      </c>
      <c r="F138" s="1" t="str">
        <f>"Arbetsgivaravgifter tillägg"</f>
        <v>Arbetsgivaravgifter tillägg</v>
      </c>
      <c r="G138" s="2">
        <v>-1256</v>
      </c>
      <c r="H138" s="6">
        <v>-8483</v>
      </c>
      <c r="I138" s="6">
        <v>0</v>
      </c>
      <c r="J138" s="6">
        <v>0</v>
      </c>
      <c r="L138" s="7">
        <v>0</v>
      </c>
    </row>
    <row r="139" spans="3:12" x14ac:dyDescent="0.35">
      <c r="C139" s="1" t="s">
        <v>13</v>
      </c>
      <c r="F139" s="1" t="s">
        <v>14</v>
      </c>
      <c r="H139" s="6">
        <v>9737</v>
      </c>
      <c r="I139" s="6">
        <v>674</v>
      </c>
      <c r="J139" s="6">
        <v>-34000</v>
      </c>
      <c r="L139" s="7">
        <v>0</v>
      </c>
    </row>
    <row r="140" spans="3:12" x14ac:dyDescent="0.35">
      <c r="C140" s="1" t="s">
        <v>42</v>
      </c>
      <c r="F140" s="1" t="s">
        <v>43</v>
      </c>
      <c r="H140" s="6"/>
      <c r="I140" s="6">
        <v>-284004</v>
      </c>
      <c r="L140" s="7"/>
    </row>
    <row r="141" spans="3:12" x14ac:dyDescent="0.35">
      <c r="C141" s="1" t="str">
        <f>"7531"</f>
        <v>7531</v>
      </c>
      <c r="F141" s="1" t="str">
        <f>"Löneskatt"</f>
        <v>Löneskatt</v>
      </c>
      <c r="G141" s="2">
        <v>-19294</v>
      </c>
      <c r="H141" s="6">
        <v>-19901</v>
      </c>
      <c r="I141" s="6">
        <v>-26129</v>
      </c>
      <c r="J141" s="6">
        <v>-4000</v>
      </c>
      <c r="L141" s="7">
        <f>+L135*0.2426</f>
        <v>-24726.451872000001</v>
      </c>
    </row>
    <row r="142" spans="3:12" x14ac:dyDescent="0.35">
      <c r="C142" s="1" t="str">
        <f>"7570"</f>
        <v>7570</v>
      </c>
      <c r="F142" s="1" t="str">
        <f>"Fora försäkring"</f>
        <v>Fora försäkring</v>
      </c>
      <c r="G142" s="2">
        <v>-3196</v>
      </c>
      <c r="H142" s="6">
        <v>-3262</v>
      </c>
      <c r="I142" s="6">
        <v>-6692</v>
      </c>
      <c r="J142" s="6">
        <v>-7000</v>
      </c>
      <c r="L142" s="7">
        <v>-4000</v>
      </c>
    </row>
    <row r="143" spans="3:12" x14ac:dyDescent="0.35">
      <c r="C143" s="1" t="str">
        <f>"7590"</f>
        <v>7590</v>
      </c>
      <c r="F143" s="1" t="str">
        <f>"Arbetsgivaralliansen"</f>
        <v>Arbetsgivaralliansen</v>
      </c>
      <c r="G143" s="2">
        <v>-7535</v>
      </c>
      <c r="H143" s="6">
        <v>-7745</v>
      </c>
      <c r="I143" s="6">
        <v>-7648</v>
      </c>
      <c r="J143" s="6">
        <v>-5000</v>
      </c>
      <c r="L143" s="7">
        <v>-8000</v>
      </c>
    </row>
    <row r="144" spans="3:12" x14ac:dyDescent="0.35">
      <c r="C144" s="1" t="str">
        <f>"7610"</f>
        <v>7610</v>
      </c>
      <c r="F144" s="1" t="str">
        <f>"Utbildning personal"</f>
        <v>Utbildning personal</v>
      </c>
      <c r="G144" s="2">
        <v>0</v>
      </c>
      <c r="H144" s="6">
        <v>0</v>
      </c>
      <c r="I144" s="6">
        <v>0</v>
      </c>
      <c r="J144" s="6">
        <v>-4000</v>
      </c>
      <c r="L144" s="7">
        <v>-5000</v>
      </c>
    </row>
    <row r="145" spans="1:12" x14ac:dyDescent="0.35">
      <c r="C145" s="1" t="str">
        <f>"7690"</f>
        <v>7690</v>
      </c>
      <c r="F145" s="1" t="str">
        <f>"Övriga personalkostnader"</f>
        <v>Övriga personalkostnader</v>
      </c>
      <c r="G145" s="2">
        <v>-4364</v>
      </c>
      <c r="H145" s="6">
        <v>-4788.45</v>
      </c>
      <c r="I145" s="6">
        <v>-12549</v>
      </c>
      <c r="L145" s="25">
        <v>-9000</v>
      </c>
    </row>
    <row r="146" spans="1:12" x14ac:dyDescent="0.35">
      <c r="A146" s="5"/>
      <c r="B146" s="5"/>
      <c r="C146" s="5"/>
      <c r="D146" s="5"/>
      <c r="E146" s="5"/>
      <c r="F146" s="5"/>
      <c r="G146" s="9"/>
      <c r="H146" s="9"/>
      <c r="I146" s="14"/>
      <c r="J146" s="26"/>
      <c r="K146" s="26"/>
      <c r="L146" s="26"/>
    </row>
    <row r="147" spans="1:12" x14ac:dyDescent="0.35">
      <c r="C147" s="1" t="str">
        <f>"S:a Personalkostnader"</f>
        <v>S:a Personalkostnader</v>
      </c>
      <c r="G147" s="3">
        <f>SUM(G128:G146)</f>
        <v>-1578499</v>
      </c>
      <c r="H147" s="3">
        <f>SUM(H129:H146)</f>
        <v>-1409851.45</v>
      </c>
      <c r="I147" s="3">
        <f>SUM(I129:I146)</f>
        <v>-4692496.58</v>
      </c>
      <c r="J147" s="3">
        <f>SUM(J129:J146)-2</f>
        <v>-2289477</v>
      </c>
      <c r="K147" s="3"/>
      <c r="L147" s="3">
        <f>SUM(L129:L146)</f>
        <v>-2431096.1718719997</v>
      </c>
    </row>
    <row r="148" spans="1:12" x14ac:dyDescent="0.35">
      <c r="K148" s="6"/>
      <c r="L148" s="6"/>
    </row>
    <row r="149" spans="1:12" x14ac:dyDescent="0.35">
      <c r="A149" s="5"/>
      <c r="B149" s="5"/>
      <c r="C149" s="5"/>
      <c r="D149" s="5"/>
      <c r="E149" s="5"/>
      <c r="F149" s="5"/>
      <c r="G149" s="10"/>
      <c r="H149" s="10"/>
      <c r="I149" s="31"/>
      <c r="J149" s="32"/>
      <c r="K149" s="32"/>
      <c r="L149" s="32"/>
    </row>
    <row r="150" spans="1:12" x14ac:dyDescent="0.35">
      <c r="B150" s="16" t="str">
        <f>"S:a Rörelsens kostnader inkl råvaror mm"</f>
        <v>S:a Rörelsens kostnader inkl råvaror mm</v>
      </c>
      <c r="C150" s="4"/>
      <c r="D150" s="4"/>
      <c r="E150" s="4"/>
      <c r="F150" s="4"/>
      <c r="G150" s="3">
        <f>+G147+G125+G98</f>
        <v>-4238646</v>
      </c>
      <c r="H150" s="3">
        <f>+H98+H125+H147</f>
        <v>-4628651.78</v>
      </c>
      <c r="I150" s="3">
        <f>+I98+I125+I147</f>
        <v>-9245287.3200000003</v>
      </c>
      <c r="J150" s="3">
        <f>+J98+J125+J147</f>
        <v>-6338977</v>
      </c>
      <c r="K150" s="3"/>
      <c r="L150" s="3">
        <f>+L98+L125+L147</f>
        <v>-6959096.1718719993</v>
      </c>
    </row>
    <row r="151" spans="1:12" x14ac:dyDescent="0.35">
      <c r="B151" s="4"/>
      <c r="C151" s="4"/>
      <c r="D151" s="4"/>
      <c r="E151" s="4"/>
      <c r="F151" s="4"/>
      <c r="G151" s="3"/>
      <c r="H151" s="3"/>
    </row>
    <row r="152" spans="1:12" x14ac:dyDescent="0.35">
      <c r="A152" s="5"/>
      <c r="B152" s="5"/>
      <c r="C152" s="5"/>
      <c r="D152" s="5"/>
      <c r="E152" s="5"/>
      <c r="F152" s="5"/>
      <c r="G152" s="9"/>
      <c r="H152" s="9"/>
      <c r="I152" s="14"/>
      <c r="J152" s="26"/>
      <c r="K152" s="26"/>
      <c r="L152" s="26"/>
    </row>
    <row r="153" spans="1:12" x14ac:dyDescent="0.35">
      <c r="A153" s="16" t="str">
        <f>"Rörelseresultat före avskrivningar"</f>
        <v>Rörelseresultat före avskrivningar</v>
      </c>
      <c r="B153" s="4"/>
      <c r="C153" s="4"/>
      <c r="D153" s="4"/>
      <c r="E153" s="4"/>
      <c r="F153" s="4"/>
      <c r="G153" s="3">
        <f>+G46+G150</f>
        <v>1669995</v>
      </c>
      <c r="H153" s="3">
        <f>+H46+H150+2</f>
        <v>628043.87999999989</v>
      </c>
      <c r="I153" s="3">
        <f>+I46+I150</f>
        <v>-2684630.3100000005</v>
      </c>
      <c r="J153" s="3">
        <f>+J46+J150</f>
        <v>-266977</v>
      </c>
      <c r="K153" s="3"/>
      <c r="L153" s="3">
        <f>+L46+L150</f>
        <v>118503.82812800072</v>
      </c>
    </row>
    <row r="155" spans="1:12" x14ac:dyDescent="0.35">
      <c r="A155" s="1" t="str">
        <f>"Avskrivningar"</f>
        <v>Avskrivningar</v>
      </c>
    </row>
    <row r="156" spans="1:12" x14ac:dyDescent="0.35">
      <c r="B156" s="1" t="str">
        <f>"7820"</f>
        <v>7820</v>
      </c>
      <c r="F156" t="s">
        <v>7</v>
      </c>
      <c r="G156" s="2">
        <v>-23125</v>
      </c>
      <c r="H156" s="2">
        <v>-23125</v>
      </c>
      <c r="I156" s="2">
        <v>-23124</v>
      </c>
      <c r="J156">
        <v>-23125</v>
      </c>
      <c r="L156" s="4">
        <v>-23125</v>
      </c>
    </row>
    <row r="157" spans="1:12" x14ac:dyDescent="0.35">
      <c r="B157" s="1" t="str">
        <f>"7830"</f>
        <v>7830</v>
      </c>
      <c r="F157" s="1" t="str">
        <f>"Avskrivning inventarier"</f>
        <v>Avskrivning inventarier</v>
      </c>
      <c r="G157" s="2">
        <v>-14600</v>
      </c>
      <c r="H157" s="2">
        <f>-7358-5862</f>
        <v>-13220</v>
      </c>
      <c r="I157" s="2">
        <f>-7358-5862</f>
        <v>-13220</v>
      </c>
      <c r="J157">
        <v>-13220</v>
      </c>
      <c r="L157" s="4">
        <v>-13220</v>
      </c>
    </row>
    <row r="158" spans="1:12" x14ac:dyDescent="0.35">
      <c r="A158" s="5"/>
      <c r="B158" s="5"/>
      <c r="C158" s="5"/>
      <c r="D158" s="5"/>
      <c r="E158" s="5"/>
      <c r="F158" s="5"/>
      <c r="G158" s="9"/>
      <c r="H158" s="9"/>
      <c r="I158" s="14"/>
      <c r="J158" s="26"/>
      <c r="L158" s="38"/>
    </row>
    <row r="159" spans="1:12" x14ac:dyDescent="0.35">
      <c r="B159" s="1" t="str">
        <f>"S:a Avskrivningar"</f>
        <v>S:a Avskrivningar</v>
      </c>
      <c r="G159" s="2">
        <f>SUM(G156:G157)</f>
        <v>-37725</v>
      </c>
      <c r="H159" s="2">
        <f>SUM(H156:H157)</f>
        <v>-36345</v>
      </c>
      <c r="I159" s="2">
        <f>SUM(I156:I157)</f>
        <v>-36344</v>
      </c>
      <c r="J159" s="2">
        <f>SUM(J156:J157)</f>
        <v>-36345</v>
      </c>
      <c r="L159" s="3">
        <f>SUM(L156:L157)</f>
        <v>-36345</v>
      </c>
    </row>
    <row r="161" spans="1:12" x14ac:dyDescent="0.35">
      <c r="A161" s="5"/>
      <c r="B161" s="5"/>
      <c r="C161" s="5"/>
      <c r="D161" s="5"/>
      <c r="E161" s="5"/>
      <c r="F161" s="5"/>
      <c r="G161" s="9"/>
      <c r="H161" s="9"/>
      <c r="I161" s="14"/>
      <c r="J161" s="26"/>
      <c r="K161" s="26"/>
      <c r="L161" s="26"/>
    </row>
    <row r="162" spans="1:12" x14ac:dyDescent="0.35">
      <c r="A162" s="16" t="str">
        <f>"Rörelseresultat efter avskrivningar"</f>
        <v>Rörelseresultat efter avskrivningar</v>
      </c>
      <c r="B162" s="4"/>
      <c r="C162" s="4"/>
      <c r="D162" s="4"/>
      <c r="E162" s="4"/>
      <c r="F162" s="4"/>
      <c r="G162" s="3">
        <f>+G153+G159-1</f>
        <v>1632269</v>
      </c>
      <c r="H162" s="3">
        <f>+H153+H159</f>
        <v>591698.87999999989</v>
      </c>
      <c r="I162" s="3">
        <f>+I153+I159</f>
        <v>-2720974.3100000005</v>
      </c>
      <c r="J162" s="3">
        <f t="shared" ref="J162" si="5">+J153+J159+2</f>
        <v>-303320</v>
      </c>
      <c r="K162" s="3"/>
      <c r="L162" s="3">
        <f>+L153+L159</f>
        <v>82158.828128000721</v>
      </c>
    </row>
    <row r="164" spans="1:12" hidden="1" x14ac:dyDescent="0.35">
      <c r="A164" s="5"/>
      <c r="B164" s="5"/>
      <c r="C164" s="5"/>
      <c r="D164" s="5"/>
      <c r="E164" s="5"/>
      <c r="F164" s="5"/>
    </row>
    <row r="165" spans="1:12" hidden="1" x14ac:dyDescent="0.35">
      <c r="A165" s="1" t="str">
        <f>"Rörelseresultat före finansiella intäkter och kostnader"</f>
        <v>Rörelseresultat före finansiella intäkter och kostnader</v>
      </c>
    </row>
    <row r="166" spans="1:12" hidden="1" x14ac:dyDescent="0.35"/>
    <row r="167" spans="1:12" hidden="1" x14ac:dyDescent="0.35">
      <c r="A167" s="1" t="str">
        <f>"Resultat från finansiella investeringar"</f>
        <v>Resultat från finansiella investeringar</v>
      </c>
    </row>
    <row r="168" spans="1:12" x14ac:dyDescent="0.35">
      <c r="A168" s="1"/>
      <c r="B168" s="1" t="s">
        <v>46</v>
      </c>
    </row>
    <row r="169" spans="1:12" x14ac:dyDescent="0.35">
      <c r="B169" s="1"/>
      <c r="C169" t="s">
        <v>24</v>
      </c>
      <c r="F169" t="s">
        <v>25</v>
      </c>
      <c r="I169" s="6">
        <v>14</v>
      </c>
    </row>
    <row r="170" spans="1:12" x14ac:dyDescent="0.35">
      <c r="B170" s="1"/>
      <c r="C170">
        <v>8350</v>
      </c>
      <c r="F170" t="s">
        <v>28</v>
      </c>
      <c r="I170" s="6"/>
      <c r="L170" s="7">
        <v>204895</v>
      </c>
    </row>
    <row r="171" spans="1:12" x14ac:dyDescent="0.35">
      <c r="B171" s="1"/>
      <c r="C171">
        <v>8390</v>
      </c>
      <c r="F171" t="s">
        <v>23</v>
      </c>
      <c r="I171" s="6">
        <v>43141.5</v>
      </c>
    </row>
    <row r="172" spans="1:12" x14ac:dyDescent="0.35">
      <c r="C172" s="1" t="str">
        <f>"8423"</f>
        <v>8423</v>
      </c>
      <c r="F172" s="1" t="str">
        <f>"Ränte skattekontot ej avdragsgill"</f>
        <v>Ränte skattekontot ej avdragsgill</v>
      </c>
      <c r="G172" s="2">
        <v>-124</v>
      </c>
      <c r="H172" s="2">
        <v>-921</v>
      </c>
      <c r="I172">
        <v>-154</v>
      </c>
    </row>
    <row r="173" spans="1:12" hidden="1" x14ac:dyDescent="0.35">
      <c r="A173" s="5"/>
      <c r="B173" s="5"/>
      <c r="C173" s="5"/>
      <c r="D173" s="5"/>
      <c r="E173" s="5"/>
      <c r="F173" s="5"/>
    </row>
    <row r="174" spans="1:12" hidden="1" x14ac:dyDescent="0.35">
      <c r="C174" s="1" t="str">
        <f>"S:a Räntekostnader och liknande resultatposter"</f>
        <v>S:a Räntekostnader och liknande resultatposter</v>
      </c>
    </row>
    <row r="175" spans="1:12" hidden="1" x14ac:dyDescent="0.35"/>
    <row r="176" spans="1:12" hidden="1" x14ac:dyDescent="0.35">
      <c r="A176" s="5"/>
      <c r="B176" s="5"/>
      <c r="C176" s="5"/>
      <c r="D176" s="5"/>
      <c r="E176" s="5"/>
      <c r="F176" s="5"/>
    </row>
    <row r="177" spans="1:12" hidden="1" x14ac:dyDescent="0.35">
      <c r="B177" s="1" t="str">
        <f>"S:a Resultat från finansiella investeringar"</f>
        <v>S:a Resultat från finansiella investeringar</v>
      </c>
      <c r="G177" s="2">
        <f>SUM(G172:G176)</f>
        <v>-124</v>
      </c>
    </row>
    <row r="178" spans="1:12" hidden="1" x14ac:dyDescent="0.35"/>
    <row r="179" spans="1:12" x14ac:dyDescent="0.35">
      <c r="C179" s="1" t="s">
        <v>26</v>
      </c>
      <c r="H179" s="2">
        <f>SUM(H169:H178)</f>
        <v>-921</v>
      </c>
      <c r="I179" s="2">
        <f>SUM(I169:I178)</f>
        <v>43001.5</v>
      </c>
      <c r="J179" s="2">
        <f>SUM(J169:J178)</f>
        <v>0</v>
      </c>
      <c r="K179" s="2">
        <f>SUM(K169:K178)</f>
        <v>0</v>
      </c>
      <c r="L179" s="3">
        <f>SUM(L169:L178)</f>
        <v>204895</v>
      </c>
    </row>
    <row r="180" spans="1:12" x14ac:dyDescent="0.35">
      <c r="A180" s="5"/>
      <c r="B180" s="5"/>
      <c r="C180" s="5"/>
      <c r="D180" s="5"/>
      <c r="E180" s="5"/>
      <c r="F180" s="5"/>
      <c r="G180" s="9"/>
      <c r="H180" s="9"/>
      <c r="I180" s="14"/>
      <c r="J180" s="26"/>
      <c r="K180" s="14"/>
      <c r="L180" s="14"/>
    </row>
    <row r="181" spans="1:12" x14ac:dyDescent="0.35">
      <c r="A181" s="16" t="str">
        <f>"Beräknat resultat"</f>
        <v>Beräknat resultat</v>
      </c>
      <c r="B181" s="4"/>
      <c r="C181" s="4"/>
      <c r="D181" s="4"/>
      <c r="E181" s="4"/>
      <c r="F181" s="4"/>
      <c r="G181" s="3">
        <f>+G177+G162</f>
        <v>1632145</v>
      </c>
      <c r="H181" s="3">
        <f>H162+H179</f>
        <v>590777.87999999989</v>
      </c>
      <c r="I181" s="3">
        <f>+I162+I179</f>
        <v>-2677972.8100000005</v>
      </c>
      <c r="J181" s="3">
        <f t="shared" ref="J181" si="6">+J172+J162</f>
        <v>-303320</v>
      </c>
      <c r="K181" s="3"/>
      <c r="L181" s="3">
        <f>+L162+L179</f>
        <v>287053.82812800072</v>
      </c>
    </row>
    <row r="182" spans="1:12" x14ac:dyDescent="0.35">
      <c r="A182" s="4"/>
      <c r="B182" s="4"/>
      <c r="C182" s="4"/>
      <c r="D182" s="4"/>
      <c r="E182" s="4"/>
      <c r="F182" s="4"/>
      <c r="G182" s="3"/>
      <c r="H182" s="3"/>
    </row>
    <row r="183" spans="1:12" hidden="1" x14ac:dyDescent="0.35">
      <c r="A183" s="19"/>
      <c r="B183" s="19"/>
      <c r="C183" s="19"/>
      <c r="D183" s="19"/>
      <c r="E183" s="19"/>
      <c r="F183" s="19"/>
      <c r="G183" s="3"/>
      <c r="H183" s="3"/>
    </row>
    <row r="184" spans="1:12" hidden="1" x14ac:dyDescent="0.35">
      <c r="A184" s="16" t="str">
        <f>"Resultat före bokslutsdispositioner och skatt"</f>
        <v>Resultat före bokslutsdispositioner och skatt</v>
      </c>
      <c r="B184" s="4"/>
      <c r="C184" s="4"/>
      <c r="D184" s="4"/>
      <c r="E184" s="4"/>
      <c r="F184" s="4"/>
      <c r="G184" s="3"/>
      <c r="H184" s="3"/>
    </row>
    <row r="185" spans="1:12" hidden="1" x14ac:dyDescent="0.35">
      <c r="A185" s="4"/>
      <c r="B185" s="4"/>
      <c r="C185" s="4"/>
      <c r="D185" s="4"/>
      <c r="E185" s="4"/>
      <c r="F185" s="4"/>
      <c r="G185" s="3"/>
      <c r="H185" s="3"/>
    </row>
    <row r="186" spans="1:12" hidden="1" x14ac:dyDescent="0.35">
      <c r="A186" s="19"/>
      <c r="B186" s="19"/>
      <c r="C186" s="19"/>
      <c r="D186" s="19"/>
      <c r="E186" s="19"/>
      <c r="F186" s="19"/>
      <c r="G186" s="3"/>
      <c r="H186" s="3"/>
    </row>
    <row r="187" spans="1:12" hidden="1" x14ac:dyDescent="0.35">
      <c r="A187" s="16" t="str">
        <f>"Resultat före skatt"</f>
        <v>Resultat före skatt</v>
      </c>
      <c r="B187" s="4"/>
      <c r="C187" s="4"/>
      <c r="D187" s="4"/>
      <c r="E187" s="4"/>
      <c r="F187" s="4"/>
      <c r="G187" s="3">
        <f>+G181</f>
        <v>1632145</v>
      </c>
      <c r="H187" s="3">
        <f>+H181</f>
        <v>590777.87999999989</v>
      </c>
    </row>
    <row r="188" spans="1:12" x14ac:dyDescent="0.35">
      <c r="A188" s="4"/>
      <c r="B188" s="4"/>
      <c r="C188" s="4"/>
      <c r="D188" s="4"/>
      <c r="E188" s="4"/>
      <c r="F188" s="4"/>
      <c r="G188" s="3"/>
      <c r="H188" s="3"/>
    </row>
    <row r="189" spans="1:12" x14ac:dyDescent="0.35">
      <c r="K189" s="6"/>
      <c r="L189" s="6"/>
    </row>
  </sheetData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Åke Jägenstedt</dc:creator>
  <cp:lastModifiedBy>Maria Hällerfors</cp:lastModifiedBy>
  <dcterms:created xsi:type="dcterms:W3CDTF">2021-02-02T09:52:14Z</dcterms:created>
  <dcterms:modified xsi:type="dcterms:W3CDTF">2023-03-06T18:30:02Z</dcterms:modified>
</cp:coreProperties>
</file>